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ther databases\Jamaica\Data from authorities\Public Debt\Modified Data\"/>
    </mc:Choice>
  </mc:AlternateContent>
  <bookViews>
    <workbookView xWindow="45" yWindow="0" windowWidth="9690" windowHeight="6960" tabRatio="608"/>
  </bookViews>
  <sheets>
    <sheet name="Foreign" sheetId="2" r:id="rId1"/>
  </sheets>
  <definedNames>
    <definedName name="_xlnm.Print_Area" localSheetId="0">Foreign!$A$1:$D$463</definedName>
    <definedName name="_xlnm.Print_Titles" localSheetId="0">Foreign!$2:$6</definedName>
  </definedNames>
  <calcPr calcId="152511"/>
</workbook>
</file>

<file path=xl/calcChain.xml><?xml version="1.0" encoding="utf-8"?>
<calcChain xmlns="http://schemas.openxmlformats.org/spreadsheetml/2006/main">
  <c r="E421" i="2" l="1"/>
  <c r="F421" i="2" s="1"/>
  <c r="E112" i="2"/>
  <c r="E113" i="2"/>
  <c r="E211" i="2"/>
  <c r="E212" i="2"/>
  <c r="E431" i="2"/>
  <c r="E432" i="2"/>
  <c r="E418" i="2"/>
  <c r="E417" i="2"/>
  <c r="E398" i="2"/>
  <c r="E399" i="2"/>
  <c r="E272" i="2"/>
  <c r="E271" i="2"/>
  <c r="E270" i="2"/>
  <c r="E269" i="2"/>
  <c r="E268" i="2"/>
  <c r="E323" i="2"/>
  <c r="E326" i="2"/>
  <c r="E325" i="2"/>
  <c r="E322" i="2"/>
  <c r="E321" i="2"/>
  <c r="E318" i="2"/>
  <c r="E317" i="2"/>
  <c r="E316" i="2"/>
  <c r="E314" i="2"/>
  <c r="E313" i="2"/>
  <c r="E309" i="2"/>
  <c r="E312" i="2"/>
  <c r="E311" i="2"/>
  <c r="E298" i="2"/>
  <c r="E292" i="2"/>
  <c r="E290" i="2"/>
  <c r="E284" i="2"/>
  <c r="E281" i="2"/>
  <c r="E276" i="2"/>
  <c r="E274" i="2"/>
  <c r="E277" i="2"/>
  <c r="E278" i="2"/>
  <c r="E279" i="2"/>
  <c r="E280" i="2"/>
  <c r="E273" i="2"/>
  <c r="E262" i="2"/>
  <c r="E261" i="2"/>
  <c r="E260" i="2"/>
  <c r="E256" i="2"/>
  <c r="E255" i="2"/>
  <c r="E213" i="2"/>
  <c r="E167" i="2"/>
  <c r="E165" i="2"/>
  <c r="E160" i="2"/>
  <c r="E153" i="2"/>
  <c r="E152" i="2"/>
  <c r="E141" i="2"/>
  <c r="E393" i="2"/>
  <c r="E98" i="2"/>
  <c r="E392" i="2"/>
  <c r="E400" i="2"/>
  <c r="E394" i="2"/>
  <c r="E100" i="2"/>
  <c r="E221" i="2"/>
  <c r="E163" i="2"/>
  <c r="E41" i="2"/>
  <c r="E369" i="2"/>
  <c r="E367" i="2"/>
  <c r="E368" i="2"/>
  <c r="E365" i="2"/>
  <c r="E372" i="2"/>
  <c r="E448" i="2"/>
  <c r="E187" i="2"/>
  <c r="E419" i="2"/>
  <c r="E364" i="2"/>
  <c r="E363" i="2"/>
  <c r="E358" i="2"/>
  <c r="E360" i="2"/>
  <c r="E366" i="2"/>
  <c r="E359" i="2"/>
  <c r="E150" i="2"/>
  <c r="E148" i="2"/>
  <c r="E149" i="2"/>
  <c r="E433" i="2"/>
  <c r="E430" i="2"/>
  <c r="E434" i="2"/>
  <c r="E436" i="2"/>
  <c r="E435" i="2"/>
  <c r="E429" i="2"/>
  <c r="E287" i="2"/>
  <c r="E286" i="2"/>
  <c r="E289" i="2"/>
  <c r="E288" i="2"/>
  <c r="E285" i="2"/>
  <c r="E283" i="2"/>
  <c r="E282" i="2"/>
  <c r="E263" i="2"/>
  <c r="E265" i="2"/>
  <c r="E264" i="2"/>
  <c r="E308" i="2"/>
  <c r="E307" i="2"/>
  <c r="E306" i="2"/>
  <c r="E305" i="2"/>
  <c r="E299" i="2"/>
  <c r="E300" i="2"/>
  <c r="E301" i="2"/>
  <c r="E302" i="2"/>
  <c r="E303" i="2"/>
  <c r="E304" i="2"/>
  <c r="E267" i="2"/>
  <c r="E266" i="2"/>
  <c r="E294" i="2"/>
  <c r="E297" i="2"/>
  <c r="E296" i="2"/>
  <c r="E293" i="2"/>
  <c r="E295" i="2"/>
  <c r="E257" i="2"/>
  <c r="E259" i="2"/>
  <c r="E258" i="2"/>
  <c r="E171" i="2"/>
  <c r="E35" i="2"/>
</calcChain>
</file>

<file path=xl/sharedStrings.xml><?xml version="1.0" encoding="utf-8"?>
<sst xmlns="http://schemas.openxmlformats.org/spreadsheetml/2006/main" count="721" uniqueCount="352">
  <si>
    <t xml:space="preserve">                     04/SFR-JAM -SECOND WATER PROJECT</t>
  </si>
  <si>
    <t xml:space="preserve">                     06/SFR JAM -ROAD IMPROVEMENT </t>
  </si>
  <si>
    <t xml:space="preserve">                     06/SFR-R WISCO JAMAICA</t>
  </si>
  <si>
    <t xml:space="preserve">                    10/SFR-JAM - UTECH CENTRE</t>
  </si>
  <si>
    <t xml:space="preserve">                    10/SFR-OR-JAM -SOCIAL INVESTMENT FUND</t>
  </si>
  <si>
    <t xml:space="preserve">                    12/SFR-JAM -REGIONAL TOURISM EMERGENCY </t>
  </si>
  <si>
    <t xml:space="preserve">                    15/SFR-OR-JAM -REHAB. OF FLOOD DAMAGE</t>
  </si>
  <si>
    <t xml:space="preserve">                      685-P JAMAICA SOCIAL INVESTMENT FUND PROJECT</t>
  </si>
  <si>
    <t xml:space="preserve">                   91 JMI  PL480 AGREEMENT 4.66M - 1990 DELIVERIES</t>
  </si>
  <si>
    <t xml:space="preserve">                 JM-P4 TELECOMMUNICATION NETWORK EXPANSION PROJ.</t>
  </si>
  <si>
    <t xml:space="preserve">                 JM-C2 RECONSTRUCTION LOAN</t>
  </si>
  <si>
    <t xml:space="preserve">                 JM-C3 AGRICULTURAL SECTOR ADJUSTMENT</t>
  </si>
  <si>
    <t xml:space="preserve">                 JM-P5 NORTH COAST DEVELOPMENT PROJECT</t>
  </si>
  <si>
    <t xml:space="preserve">                 JM-R6 OECF 1991/92 DEBT RESCHEDULING</t>
  </si>
  <si>
    <t xml:space="preserve">                 JM-R7 JAPAN OECF 92/95 RESCHEDULING</t>
  </si>
  <si>
    <t xml:space="preserve">                  1978.03 PURCHASE OF GOODS</t>
  </si>
  <si>
    <t xml:space="preserve">                  1980.02 CONSOLIDATION OF INTEREST AMOUNTS</t>
  </si>
  <si>
    <t xml:space="preserve">                  1985 NETHERLANDS 1985/86 RESCHEDULING</t>
  </si>
  <si>
    <t xml:space="preserve">                  1987.01 RESCHEDULING OF DEBT AGREEMENT 1987/88</t>
  </si>
  <si>
    <t xml:space="preserve">                  1989.01 NETHERLANDS 88/89 RESCHEDULING</t>
  </si>
  <si>
    <t>NOK</t>
  </si>
  <si>
    <t>TOTAL FOREIGN GOVERNMENT &amp; GOVERNMENT AGENCIES</t>
  </si>
  <si>
    <t xml:space="preserve">                     516/SF  SELF SUPPORTING FARMERS DEV. PROGRAMME</t>
  </si>
  <si>
    <t xml:space="preserve">                     512/SF-JA  RURAL ELECTRIFICATION PROGRAMME</t>
  </si>
  <si>
    <t xml:space="preserve">                     538-0-SF/JA  DRAINAGE &amp; IRRIGATION PROJECT</t>
  </si>
  <si>
    <t xml:space="preserve">                     580/SF-JA  AGRICULTURAL RESEARCH PROJECT</t>
  </si>
  <si>
    <t xml:space="preserve">                     573-0/SF-JA  IMPROVEMENT OF WATER SUPPLY SYSTEM</t>
  </si>
  <si>
    <t>YEN</t>
  </si>
  <si>
    <t xml:space="preserve">                     581/SF  RURAL ELECTRIFICATION PROGRAMME</t>
  </si>
  <si>
    <t>DKK</t>
  </si>
  <si>
    <t xml:space="preserve">                     588/SF-JA PARISH MARKET PROGRAMME</t>
  </si>
  <si>
    <t xml:space="preserve">                     638/SF-JA  HYDROCARBON EXPLORATION PROJECT</t>
  </si>
  <si>
    <t xml:space="preserve">                     714/SF-JA  AGRICULTURAL DEVELOPMENT PROGRAMME</t>
  </si>
  <si>
    <t>US EQ</t>
  </si>
  <si>
    <t xml:space="preserve">                     765/SF-JA  IMPROVEMENT &amp; MAINT. RURAL ROADS </t>
  </si>
  <si>
    <t xml:space="preserve">                     787/SF-JA  WEST KINGSTON RE-DEVELOPMENT PROJECT</t>
  </si>
  <si>
    <t xml:space="preserve">                     522/OC-JA  TOWNSHIP DEVELOPMENT PROGRAMME STG 2</t>
  </si>
  <si>
    <t xml:space="preserve">                     523/OC-JA  TOWNSHIP DEVELOPMENT PROGRAMME STG 2</t>
  </si>
  <si>
    <t xml:space="preserve">                     519/OC-JA  LAND TITLING PROJECT</t>
  </si>
  <si>
    <t xml:space="preserve">                     579/OC-JA  HEALTH SERVICES PROJECT</t>
  </si>
  <si>
    <t xml:space="preserve">                     655/OC-JA  RURAL TOWNSHIP DEVELOPMENT PROG. 3</t>
  </si>
  <si>
    <t xml:space="preserve">                     697/OC-JA  PRIMARY EDUCATION IMPROVEMENT PROG. 2</t>
  </si>
  <si>
    <t xml:space="preserve">                     887/OC-JA  AIRPORT REFORM &amp; IMPROVEMENT PROGRAM</t>
  </si>
  <si>
    <t xml:space="preserve">                     1005/OC-JA  JAMAICA SOCIAL INVESTMENT FUND</t>
  </si>
  <si>
    <t xml:space="preserve">                     1028/OC-JA  HEALTH SECTOR REFORM PROGRAM</t>
  </si>
  <si>
    <t>I  FOREIGN CURRENCY OBLIGATIONS TO COMMERCIAL ENTERPRISES</t>
  </si>
  <si>
    <t>II   FOREIGN GOVERNMENT AND GOVERNMENT AGENCIES</t>
  </si>
  <si>
    <t>III     INTERNATIONAL &amp; MULTILATERAL INSTITUTIONS</t>
  </si>
  <si>
    <t xml:space="preserve">          a)    UNITED STATES </t>
  </si>
  <si>
    <t xml:space="preserve">            a)      INTER-AMERICAN DEVELOPMENT BANK</t>
  </si>
  <si>
    <t xml:space="preserve">            b)      CARIBBEAN DEVELOPMENT BANK</t>
  </si>
  <si>
    <t xml:space="preserve">            c)      INT'L BANK FOR RECONSTRUCTION &amp; DEVELOPMENT</t>
  </si>
  <si>
    <t xml:space="preserve">                   99 JMI  PL480 FOR 1999 DELIVERIES</t>
  </si>
  <si>
    <t>CNY</t>
  </si>
  <si>
    <t xml:space="preserve">                      TOTAL - EUROPEAN INVESTMENT BANK</t>
  </si>
  <si>
    <t xml:space="preserve">                     1268/OC-JA FINANCIAL SECTOR REFORM PROGRAM</t>
  </si>
  <si>
    <t xml:space="preserve">                     7036-JM   DEBT MANAGEMENT PROGRAM </t>
  </si>
  <si>
    <t xml:space="preserve">US </t>
  </si>
  <si>
    <t xml:space="preserve">                      TOTAL - KUWAIT</t>
  </si>
  <si>
    <t xml:space="preserve">                     1185/OC-JA SOLID WASTE MANAGEMENT PROGRAM</t>
  </si>
  <si>
    <t xml:space="preserve">                     1283/OC-JA AGRICULTURAL SUPPORT SERVICES PROJECT</t>
  </si>
  <si>
    <t xml:space="preserve">                     NDF #165 AIRPORT REFORM &amp; IMPROVEMENT PROGRAM</t>
  </si>
  <si>
    <t xml:space="preserve">                     4070-JM   STUDENT'S LOAN PROJECT 28.5M</t>
  </si>
  <si>
    <t xml:space="preserve">                     4083-JM   PUBLIC SECTOR MODERNIZATION</t>
  </si>
  <si>
    <t xml:space="preserve">                     4088-JM   SOCIAL INVESTMENT FUND PROJECT</t>
  </si>
  <si>
    <t>XDR</t>
  </si>
  <si>
    <t xml:space="preserve">                     NDF #81 PRIMARY EDUCATION IMPROVEMENT PROG.</t>
  </si>
  <si>
    <t xml:space="preserve">                     NDF #120 MULTI-SECTORAL PRE-INVESTMENT PROJECT</t>
  </si>
  <si>
    <t xml:space="preserve">                     TOTAL - NORDIC DEVELOPMENT FUND</t>
  </si>
  <si>
    <t>TOTAL INTERNATIONAL &amp; MULTINATIONAL INSTITUTIONS</t>
  </si>
  <si>
    <t>CURRENCY</t>
  </si>
  <si>
    <t>BALANCE OUTSTANDING</t>
  </si>
  <si>
    <t>JA$ EQUIVALENT</t>
  </si>
  <si>
    <t xml:space="preserve"> </t>
  </si>
  <si>
    <t>US</t>
  </si>
  <si>
    <t xml:space="preserve">          1.    U.S. AGENCY FOR INTERNATIONAL DEVELOPMENT</t>
  </si>
  <si>
    <t xml:space="preserve">                 TOTAL - U.S. AGENCY FOR INTERNATIONAL DEVELOPMENT </t>
  </si>
  <si>
    <t xml:space="preserve">            2.   FEDERAL HOME LOAN BANK OF BOSTON</t>
  </si>
  <si>
    <t xml:space="preserve">                  TOTAL - COMMODITY CREDIT CORPORATION</t>
  </si>
  <si>
    <t xml:space="preserve">            4.    UNITED STATES DEPT. OF AGRICULTURE</t>
  </si>
  <si>
    <t xml:space="preserve">                   TOTAL - UNITED STATES DEPT. OF AGRICULTURE</t>
  </si>
  <si>
    <t xml:space="preserve">          3.    UNITED KINGDOM GOVERNMENT</t>
  </si>
  <si>
    <t xml:space="preserve">                 TOTAL - UNITED KINGDOM GOVERNMENT</t>
  </si>
  <si>
    <t xml:space="preserve">         1.    KREDITANSTALT FUR WIEDERAUFBAU</t>
  </si>
  <si>
    <t xml:space="preserve">                94-65-345 REHABILITATION OF 2 HOSPITALS</t>
  </si>
  <si>
    <t xml:space="preserve">                TOTAL - KREDITANSTALT FUR WIEDERAUFBAU</t>
  </si>
  <si>
    <t xml:space="preserve">          1.    OVERSEAS ECONOMIC CORPORATION FUND</t>
  </si>
  <si>
    <t xml:space="preserve">                 TOTAL - OVERSEAS ECONOMIC CORPORATION FUND</t>
  </si>
  <si>
    <t xml:space="preserve">                  TOTAL - NETHERLAND INVESTMENT BANK</t>
  </si>
  <si>
    <t>KWD</t>
  </si>
  <si>
    <t xml:space="preserve">                     972/OC-JA   NORTHERN COASTAL HIGHWAY PROJECT</t>
  </si>
  <si>
    <t xml:space="preserve">                     TOTAL - INTER-AMERICAN DEVELOPMENT BANK</t>
  </si>
  <si>
    <t xml:space="preserve">                     TOTAL - CARIBBEAN DEVELOPMENT BANK</t>
  </si>
  <si>
    <t xml:space="preserve">                     TOTAL - INT'L BANK FOR RECONSTRUCTION &amp; DEV.</t>
  </si>
  <si>
    <t xml:space="preserve">                      TOTAL - OPEC FUND FOR INT'L DEVELOPMENT</t>
  </si>
  <si>
    <t xml:space="preserve">            TOTAL EXTERNAL DEBT</t>
  </si>
  <si>
    <t xml:space="preserve">            GRAND TOTAL FOREIGN &amp; LOCAL</t>
  </si>
  <si>
    <t>EURO</t>
  </si>
  <si>
    <t xml:space="preserve"> EXTERNAL DEBT</t>
  </si>
  <si>
    <t>STATEMENT OF OUTSTANDING PUBLIC DEBT</t>
  </si>
  <si>
    <t>TOTAL FOREIGN CURRENCY OBLIGATIONS TO COMMERCIAL ENTERPRISES</t>
  </si>
  <si>
    <t xml:space="preserve">                  532-HG-014 FINANCING- SHELTER FOR LOW INCOME FAMILY</t>
  </si>
  <si>
    <t xml:space="preserve">                  TOTAL - FEDERAL HOME LOAN</t>
  </si>
  <si>
    <t xml:space="preserve">                      645-P BUSHY PARK/SANDY BAY ROAD PROJECT</t>
  </si>
  <si>
    <t xml:space="preserve">                   93 JMI GOJ/CCC PL480 AGREEMENT 2.47M</t>
  </si>
  <si>
    <t>CAD</t>
  </si>
  <si>
    <t>UK</t>
  </si>
  <si>
    <t xml:space="preserve">                 UKG 92/95 RESCHEDULING</t>
  </si>
  <si>
    <t xml:space="preserve">                 </t>
  </si>
  <si>
    <t xml:space="preserve">                81-65-037 GENERAL COMMODITY AID II</t>
  </si>
  <si>
    <t xml:space="preserve">                89-65-121 HURRICANE RECONSTRUCTION ASSISTANCE 2</t>
  </si>
  <si>
    <t xml:space="preserve">                89-65-857 HURRICANE RECONSTRUCTION ASSISTANCE III</t>
  </si>
  <si>
    <t xml:space="preserve">                92-65-992 KFW 91/92 RESCHEDULING</t>
  </si>
  <si>
    <t xml:space="preserve">                94-65-253 KFW 92/95 DEBT RESCHEDULING </t>
  </si>
  <si>
    <t xml:space="preserve">                93-65-941 SUPPLIES AND SERVICES</t>
  </si>
  <si>
    <t xml:space="preserve">                 JM-P3 MONTEGO BAY WATER SUPPLY PROJECT</t>
  </si>
  <si>
    <t xml:space="preserve">                 JM-P6 KGN WATER SUPPLY PROJECT</t>
  </si>
  <si>
    <t>US$</t>
  </si>
  <si>
    <t xml:space="preserve">          1)    BANQUE PARIBAS</t>
  </si>
  <si>
    <t xml:space="preserve">                 532-W-055 INNER KINGSTON DEVELOPMENT</t>
  </si>
  <si>
    <t xml:space="preserve">                 532-1-113 USAID DEBT REDUCTION</t>
  </si>
  <si>
    <t xml:space="preserve">                 532-121R-154W 1992/95 PARIS CLUB RESCHEDULING</t>
  </si>
  <si>
    <t xml:space="preserve">                 532-T-046D  CROP DIVERSIFICATION &amp; IRRIGATION PROJ.</t>
  </si>
  <si>
    <t xml:space="preserve">                  532-HG-012-AO3 FINANCE FOR HOUSING PROJECT</t>
  </si>
  <si>
    <t xml:space="preserve">                  532-HG-013-AO1 FINANCE FOR HOUSING PROJECT</t>
  </si>
  <si>
    <t xml:space="preserve">                   91 JMI PL480 8.39M</t>
  </si>
  <si>
    <t xml:space="preserve">                   93 JMI GOJ/CCC  PL480 AGREEMENT 27.16M -1993 DELIVERIES</t>
  </si>
  <si>
    <t xml:space="preserve">                   93 JMI  GOJ/CCC PL480 AGREEMENT 20.76M - 1992 DELIVERIES</t>
  </si>
  <si>
    <t xml:space="preserve">                     835/OC-JA MULTISECTORAL PREINVESTMENT PROGRAM</t>
  </si>
  <si>
    <t xml:space="preserve">                     1344/OC-CITIZEN, SECURITY &amp; JUSTICE</t>
  </si>
  <si>
    <t xml:space="preserve">                     1197/OC-JA PARISH INFRASTRUCTURE </t>
  </si>
  <si>
    <t xml:space="preserve">                     1360/OC-JA RURAL WATER</t>
  </si>
  <si>
    <t xml:space="preserve">                     812/SF-JA LAND TITLING PROJECT</t>
  </si>
  <si>
    <t xml:space="preserve">                     7095-JM   EMERGENCY ECONOMIC REHAB.</t>
  </si>
  <si>
    <t xml:space="preserve">                     7148-JM NATIONAL COMMUNITY DEVELOPMENT</t>
  </si>
  <si>
    <t xml:space="preserve">                     7112-JM HIV/AIDS PROJECT</t>
  </si>
  <si>
    <t xml:space="preserve">                     7150-JM DEBT MANAGEMENT</t>
  </si>
  <si>
    <t>CHF</t>
  </si>
  <si>
    <t xml:space="preserve">                     1363/OC -JA -NATIONAL ROAD IMPROVEMENT </t>
  </si>
  <si>
    <t>POUNDS</t>
  </si>
  <si>
    <t>SEK</t>
  </si>
  <si>
    <t xml:space="preserve">         c).    CHINA</t>
  </si>
  <si>
    <t xml:space="preserve">         d)    UNITED KINGDOM</t>
  </si>
  <si>
    <t xml:space="preserve">           f)    JAPAN</t>
  </si>
  <si>
    <t xml:space="preserve">         g)      NETHERLAND INVESTMENT BANK</t>
  </si>
  <si>
    <t xml:space="preserve">                    14/SFR-OR-JAM -001 IRRIGATION DEV.PROJ</t>
  </si>
  <si>
    <t xml:space="preserve">                    14/SFR-OR-JAM -003-002 IRRIGATION DEV.PROJ</t>
  </si>
  <si>
    <t xml:space="preserve">             </t>
  </si>
  <si>
    <t xml:space="preserve">                     1219/OC-JA  1&amp;2 LAND ADMINISTRATION</t>
  </si>
  <si>
    <t xml:space="preserve">                     588/SF-JA  PARISH MARKET PROGRAMME</t>
  </si>
  <si>
    <t xml:space="preserve">                     581/SF-  RURAL ELECTRIFICATION PROGRAMME</t>
  </si>
  <si>
    <t xml:space="preserve">                  532-HG-012 AO21FINANCE FOR HOUSING PROJECT</t>
  </si>
  <si>
    <t xml:space="preserve">  </t>
  </si>
  <si>
    <t xml:space="preserve">       </t>
  </si>
  <si>
    <t xml:space="preserve">                    11/SFR-OR-JAM -CITRUS REPLANTING 11310-001</t>
  </si>
  <si>
    <t xml:space="preserve">                REPUBLIC OF CHINA (GREENFIELD STADIUM) </t>
  </si>
  <si>
    <t xml:space="preserve">                     1355/OC-JA SOCIAL SAFETY NET </t>
  </si>
  <si>
    <t xml:space="preserve">                     1419/OC-JA EMERGENCY RECONSTRUCTION</t>
  </si>
  <si>
    <t xml:space="preserve">                     1438/OC/JA -RE INFORMATION AND COMM. TECH PROJECT</t>
  </si>
  <si>
    <t xml:space="preserve">                    13/SFR -JAM DISASTER MANAGEMENT</t>
  </si>
  <si>
    <t xml:space="preserve">                    25/OR-JAM CARIBBEAN COURT OF JUSTICE</t>
  </si>
  <si>
    <t xml:space="preserve">                    14/SFR-JAM DISASTER MAN.</t>
  </si>
  <si>
    <t>DISBURSEMENTS   TO</t>
  </si>
  <si>
    <t>UAC</t>
  </si>
  <si>
    <t xml:space="preserve">       US</t>
  </si>
  <si>
    <t xml:space="preserve">                 532-W-028C </t>
  </si>
  <si>
    <t xml:space="preserve">                EQUIPMENT/SUPPLIES FOR JAMAICA WATER SYSTEM (01.2.2005)</t>
  </si>
  <si>
    <t xml:space="preserve">                     4819-JM   INNER CITY PROJECT</t>
  </si>
  <si>
    <t xml:space="preserve">                     05/SFR -JAM  REHAB. HURRICANE DAM.</t>
  </si>
  <si>
    <t xml:space="preserve">                    13/SFR OR JAM  -ENHANCEMENT OF BASIC SCHOOL</t>
  </si>
  <si>
    <t xml:space="preserve">                    28/OR-JAM COASTAL HIGHWAY IMPROVEMENT #4</t>
  </si>
  <si>
    <t xml:space="preserve">                MONTEGO BAT CONVENTION CENTER</t>
  </si>
  <si>
    <t>VEF</t>
  </si>
  <si>
    <t xml:space="preserve">                 TOTAL BANQUE PARIBAS</t>
  </si>
  <si>
    <t xml:space="preserve">                   PL480 PURCHASE OF FOOD 14.694 -1994 DELIVERIES</t>
  </si>
  <si>
    <t xml:space="preserve">                   PL480 AGREEMENT 1995 DELIVERIES (AGR.5.12.94)</t>
  </si>
  <si>
    <t xml:space="preserve">                    12/SFR-OR-JAM 11315-001 -FINANCIAL SECTOR REFORM</t>
  </si>
  <si>
    <t xml:space="preserve">                    12/SFR-OR JAM-11315-002 UNIFIED-SDF FINANCIAL SECTOR REFORM.</t>
  </si>
  <si>
    <t xml:space="preserve">                 TOTAL CHINA</t>
  </si>
  <si>
    <t xml:space="preserve">                     1007-P NATIONAL COMMUNITY DEV. PROJECT</t>
  </si>
  <si>
    <t xml:space="preserve">                 FINANCING OF 17 RENAULT GARBAGE COMPACTORS</t>
  </si>
  <si>
    <t xml:space="preserve">          4)    BOND HOLDERS</t>
  </si>
  <si>
    <t xml:space="preserve">                 US$300M 9% NOTES DUE 2015</t>
  </si>
  <si>
    <t xml:space="preserve">                 EURO 150M BOND 10.50% 2014</t>
  </si>
  <si>
    <t xml:space="preserve">                 US250M BOND (11.625%) 2022</t>
  </si>
  <si>
    <t xml:space="preserve">                 US300M BOND ( 10.625%) 2017</t>
  </si>
  <si>
    <t xml:space="preserve">                 US$250M 9.25% NOTES DUE 2025</t>
  </si>
  <si>
    <t xml:space="preserve">                 US$250M 8.5% BOND 2036</t>
  </si>
  <si>
    <t xml:space="preserve">                 US$500M 8 % BOND 2039</t>
  </si>
  <si>
    <t xml:space="preserve">                 TOTAL - BOND HOLDERS</t>
  </si>
  <si>
    <t xml:space="preserve">                HSBC - RURAL BRIDGE PROGRAM ECDG GUARANTEE 15.3M</t>
  </si>
  <si>
    <t xml:space="preserve">          6)   HSBC</t>
  </si>
  <si>
    <t xml:space="preserve">                TOTAL - HSBC</t>
  </si>
  <si>
    <t xml:space="preserve">                SUPPLY OF THREE DAMEN OFFSHORE SURVEILLANCE</t>
  </si>
  <si>
    <t xml:space="preserve">                VESSELS FOR JDF</t>
  </si>
  <si>
    <t xml:space="preserve">           7)   ING BANK N.V.</t>
  </si>
  <si>
    <t xml:space="preserve">                TOTAL</t>
  </si>
  <si>
    <t xml:space="preserve">           8)  COMMERZBANK</t>
  </si>
  <si>
    <t xml:space="preserve">                FINANCING OF HALF WAY TREE TRANSPORT CENTRE (1140A)</t>
  </si>
  <si>
    <t xml:space="preserve">                FINANCING OF HALF WAY TREE TRANSPORT CENTRE (1140B)</t>
  </si>
  <si>
    <t xml:space="preserve">                TOTAL - COMMERZBANK</t>
  </si>
  <si>
    <t xml:space="preserve">                 ACQUISITION OF FIRE TRUCKS MSM 287094</t>
  </si>
  <si>
    <t xml:space="preserve">                 ACQUISITION OF FIRE TRUCKS(DP LOAN) MSM299081  </t>
  </si>
  <si>
    <t xml:space="preserve">                 TOTAL - NATIONAL CITY BANK</t>
  </si>
  <si>
    <t xml:space="preserve">            9)  NATIONAL CITY BANK</t>
  </si>
  <si>
    <t xml:space="preserve">            10) BANK OF NOVA SCOTIA</t>
  </si>
  <si>
    <t xml:space="preserve">                  RIVER TRAINING AND BRIDGE SURVEY (MURRAY PROGRAM)</t>
  </si>
  <si>
    <t xml:space="preserve">                  BELL HELICOPTER FOR JDF</t>
  </si>
  <si>
    <t xml:space="preserve">                  TOTAL - BANK OF NOVA SCOTIA</t>
  </si>
  <si>
    <t xml:space="preserve">           12)   UPS CAPITAL</t>
  </si>
  <si>
    <t xml:space="preserve">                   FINANCING 60 GARBAGE COMPACTORS,2 TRUCKS, 4 TRAILERS</t>
  </si>
  <si>
    <t xml:space="preserve">         1.    EXIM BANK OF CHINA</t>
  </si>
  <si>
    <t xml:space="preserve">        e)     FEDERAL REPUBLIC OF GERMANY </t>
  </si>
  <si>
    <t xml:space="preserve">           h)     FRANCE</t>
  </si>
  <si>
    <t xml:space="preserve">            1.    BANQUE FRANCAISE DU COMMERCE EXTERIEUR</t>
  </si>
  <si>
    <t xml:space="preserve">                   1991/92 PARIS CLUB RESCHEDULING</t>
  </si>
  <si>
    <t xml:space="preserve">                   1992/95 PARIS CLUB RESCHEDULING (CREDIT NATIONALE/ BANQUE DE FRANCE)</t>
  </si>
  <si>
    <t xml:space="preserve">                 TOTAL - BANQUE FRANCAISE DU COMMERCE EXTERIEUR</t>
  </si>
  <si>
    <t xml:space="preserve">            3.  FRENCH TREASURY</t>
  </si>
  <si>
    <t xml:space="preserve">                 299-OAI PURCHASE OF GOODS &amp; SERVICES</t>
  </si>
  <si>
    <t xml:space="preserve">                 TOTAL - FRENCH TREASURY</t>
  </si>
  <si>
    <t xml:space="preserve">             i)  IRAQI FUND FOR EXTERNAL DEVELOPMENT</t>
  </si>
  <si>
    <t xml:space="preserve">                TOTAL - IRAQI FUND </t>
  </si>
  <si>
    <t xml:space="preserve">             j) BELGIUM</t>
  </si>
  <si>
    <t xml:space="preserve">            1. GOVT. OF THE KINGDOM OF BELGIUM</t>
  </si>
  <si>
    <t xml:space="preserve">                FINANCIAL ASSISTANCE  105 BUSES</t>
  </si>
  <si>
    <t xml:space="preserve">                PURCHASE OF TRANSFORMERS</t>
  </si>
  <si>
    <t xml:space="preserve">                UPGRADE LIGHTING AT SANGSTER INT'L AIRPORT</t>
  </si>
  <si>
    <t xml:space="preserve">                TOTAL - GOVT. OF THE KINGDOM OF BELGIUM</t>
  </si>
  <si>
    <t xml:space="preserve">           1.  SOUTH MANCHESTER ALUMINA PLANT PROJECT</t>
  </si>
  <si>
    <t xml:space="preserve">             2. JONCKHEERE BUS &amp; COACH NV</t>
  </si>
  <si>
    <t xml:space="preserve">                 30 VOLVO TRANSIT BUSES  # 1124A</t>
  </si>
  <si>
    <t xml:space="preserve">                 30 JONCKHEERE BUSES     # 1124B</t>
  </si>
  <si>
    <t xml:space="preserve">                 34 JONCKHEERE BUSES     # 1116</t>
  </si>
  <si>
    <t xml:space="preserve">                 TOTAL - JONCKHEERE BUS &amp; COACH NV</t>
  </si>
  <si>
    <t xml:space="preserve">             k)  ITALY  </t>
  </si>
  <si>
    <t xml:space="preserve">             1.  SEZIONE ASSIWRAZIONE DEL CREDITO ESPORTAZIONE (SACE)</t>
  </si>
  <si>
    <t xml:space="preserve">                  1992/95 PARIS CLUB RESCHEDULING</t>
  </si>
  <si>
    <t xml:space="preserve">                  TOTAL - GOVERNMENT OF THE REPUBLIC OF ITALY</t>
  </si>
  <si>
    <t xml:space="preserve">                     KUWAIT FUND FOR ARAB ECONOMIC DEVELOPMENT</t>
  </si>
  <si>
    <t xml:space="preserve">                     ROAD REHAB. PROJECT 616</t>
  </si>
  <si>
    <t xml:space="preserve">           m)      KUWAIT</t>
  </si>
  <si>
    <t xml:space="preserve">                   EXPORT-IMPORT BANK </t>
  </si>
  <si>
    <t xml:space="preserve">                   TOTAL INDIA</t>
  </si>
  <si>
    <t xml:space="preserve">              p)  VENEZUELA</t>
  </si>
  <si>
    <t xml:space="preserve">                   MONTEGO BAY SPORTS COMPLEX  PH 3  (21-294)</t>
  </si>
  <si>
    <t xml:space="preserve">                   PORT MARIA CIVIC CENTRE  PH 2  (20-293)</t>
  </si>
  <si>
    <t xml:space="preserve">                   TOTAL VENEZUELA</t>
  </si>
  <si>
    <t xml:space="preserve">            o)    INDIA</t>
  </si>
  <si>
    <t xml:space="preserve">             d)      OPEC FUND FOR INT'L DEVELOPMENT</t>
  </si>
  <si>
    <t xml:space="preserve">                      795-P PARISH INFRASTRUCTURE DEV.</t>
  </si>
  <si>
    <t xml:space="preserve">                      831-P EDUCATION SUPPORT PROJECT LOAN</t>
  </si>
  <si>
    <t xml:space="preserve">                      906-P RURAL ROAD REHABILITATION</t>
  </si>
  <si>
    <t xml:space="preserve">                     1152-P RURAL ROAD REHABILITATION PHASE 2</t>
  </si>
  <si>
    <t xml:space="preserve">            e)     EUROPEAN ECONOMIC COMMUNITY COMMISSION</t>
  </si>
  <si>
    <t xml:space="preserve">                    LN #8.0006  2000 ACRES BANANA PLANT</t>
  </si>
  <si>
    <t xml:space="preserve">                    LN #8.0032 JECIC</t>
  </si>
  <si>
    <t xml:space="preserve">                    LN #8.0163 RURAL ELECTRIFICATION </t>
  </si>
  <si>
    <t xml:space="preserve">                    LN #8.0347 SANGSTERS  AIRPORT MAIN TERMINAL </t>
  </si>
  <si>
    <t xml:space="preserve">                    LN #8.0383 NEGRIL OCHO-RIOS WASTE WATER PROJECT</t>
  </si>
  <si>
    <t xml:space="preserve">                    LN #8.0388 CREDIT SCH. FOR MICRO &amp; SMALL ENTERPRISES</t>
  </si>
  <si>
    <t xml:space="preserve">                    LN #8.0395 MORANT/YALLAHS AGRICULTURAL DEV. PROJ.</t>
  </si>
  <si>
    <t xml:space="preserve">             f)     EUROPEAN INVESTMENT BANK</t>
  </si>
  <si>
    <t xml:space="preserve">                    TOTAL-EUROPEAN ECONOMIC COMMUNITY COMMISSION</t>
  </si>
  <si>
    <t xml:space="preserve">             g)     NORDIC DEVELOPMENT FUND</t>
  </si>
  <si>
    <t xml:space="preserve">                    LN #8.0008  SUPPLY OF EQUIP FOR MICRODAMS &amp; IRRIGATE.</t>
  </si>
  <si>
    <t xml:space="preserve">                    LN #8.0371 CAST &amp; CTC STUDENT ACCOMMODATION </t>
  </si>
  <si>
    <t xml:space="preserve">                   PL 480 FOR CALENDAR YEAR 2000 DELIVERIES</t>
  </si>
  <si>
    <t xml:space="preserve">                 1987 PURCHASE OF GOODS &amp; SERVICES</t>
  </si>
  <si>
    <t xml:space="preserve">         2.      JAPAN - EXIM BANK  LOAN - AIRPORT REFORM &amp; IMPROVEMENT</t>
  </si>
  <si>
    <t xml:space="preserve">                    16/SFR-OR-JAM -WASHINGTON BOULEVARD IMPROVEMENT</t>
  </si>
  <si>
    <t xml:space="preserve">                     7076-JM SOCIAL SAFETY NET </t>
  </si>
  <si>
    <t xml:space="preserve">                   TOTAL UPS CAPITAL</t>
  </si>
  <si>
    <t xml:space="preserve">                FINANCING OF BUSES &amp; SPARE PARTS - KGN &amp; METRO  AREAS (ref.# 1168)</t>
  </si>
  <si>
    <t xml:space="preserve">                     ROAD REHAB. PROJECT 2 - LOAN #760</t>
  </si>
  <si>
    <t xml:space="preserve">                    17/SFR-OR -JAM- HURRICANE DEAN REHAB WORKS</t>
  </si>
  <si>
    <t xml:space="preserve">                    19/SFR-OR-JAM - POLICY BASED LOAN</t>
  </si>
  <si>
    <t xml:space="preserve">                    LN #21613 PORT ANTONIO WATER &amp; SEWERAGE PROJECT</t>
  </si>
  <si>
    <t xml:space="preserve">                     1959/OC/JA - EMERGENCY ASSIST. - 2007 ATLANTIC HURRICANE SEASON</t>
  </si>
  <si>
    <t xml:space="preserve">                     1972/OC/JA - COMPETITIVENESS ENHANCEMENT PROGRAM</t>
  </si>
  <si>
    <t xml:space="preserve">                     2026/OC/JA - TRANSPORTATION INFRASTRUCTURE REHAB. PROGRAM</t>
  </si>
  <si>
    <t xml:space="preserve">                     2039/OC/JA - YOUTH DEVELOPMENT PROGRAM PHASE 1</t>
  </si>
  <si>
    <t xml:space="preserve">                     2058/OC/JA - PUBLIC FINANCIAL &amp; PERFORMANCE MANAGEMENT</t>
  </si>
  <si>
    <t xml:space="preserve">                     2074/OC/JA - EDUCATION REFORM PROGRAM</t>
  </si>
  <si>
    <t xml:space="preserve">                     2100/OC/JA - SUPPLEMENTAL LOAN TO FINANCE THE PESP ACTIVITIES</t>
  </si>
  <si>
    <t xml:space="preserve">                     2116/OC/JA - LIQUIDITY PROGRAM FOR GROWTH SUSTAINABILITY</t>
  </si>
  <si>
    <t xml:space="preserve">                     7554-JM EARLY CHILDHOOD DEVELOPMENT PROJECT</t>
  </si>
  <si>
    <t xml:space="preserve">                     7556-JM SECOND HIV/AIDS PROJECT</t>
  </si>
  <si>
    <t xml:space="preserve">                     4878-JM   HURRICANE DEAN EMERGENCY RECOVERY</t>
  </si>
  <si>
    <t xml:space="preserve"> 7149-JM REFORM OF SECONDARY EDUCATION PROJECT II</t>
  </si>
  <si>
    <t xml:space="preserve">                     7555-JM SOCIAL PROTECTION PROJECT</t>
  </si>
  <si>
    <t xml:space="preserve">                   ENERGY COORPORATION AGREEMENT</t>
  </si>
  <si>
    <t xml:space="preserve">                   91 JMI PURCHASE OF FOOD CALENDAR YEAR 1991(9.869)</t>
  </si>
  <si>
    <t xml:space="preserve">                   91 JMI USDA  PL480 - 1991 DELIVERIES(17.805)</t>
  </si>
  <si>
    <t xml:space="preserve">                   PL 480 FOR CALENDAR YEAR 1998 DELIVERIES(4.99)</t>
  </si>
  <si>
    <t xml:space="preserve">                   PL 480 FOR CALENDAR YEAR 1996 DELIVERIES(14.879)</t>
  </si>
  <si>
    <t xml:space="preserve">                PALISADOES SHORELINE PROTECTION REHABILITATION WORKS PROJECT</t>
  </si>
  <si>
    <t xml:space="preserve">                  532-HG-012 AO1FINANCE FOR HOUSING PROJECT</t>
  </si>
  <si>
    <t xml:space="preserve">                     BUSHY PARK SANDY BAY ROAD PROJECT 591</t>
  </si>
  <si>
    <t xml:space="preserve">                    DEBT FOR NATURE SWAP DD 21/9/04 TROPICAL FOREST CONSERVATION</t>
  </si>
  <si>
    <t xml:space="preserve">                    90 JM USDA PL480 1990 DELIVERIES </t>
  </si>
  <si>
    <t xml:space="preserve">                GOVERNMENT REPULIC OF IRAQ</t>
  </si>
  <si>
    <t xml:space="preserve">                  1991/92 PARIS CLUB RESCHEDULING</t>
  </si>
  <si>
    <t xml:space="preserve">                37 JONCKHEERE BUSES 30 VDL (1178)</t>
  </si>
  <si>
    <t xml:space="preserve">                160 BUSES AND SPARE PARTS (1179)</t>
  </si>
  <si>
    <t xml:space="preserve">                63 MISTRAL BUSES &amp; SPARE PARTS - KGN &amp; METRO  AREAS (ref.# 1169)</t>
  </si>
  <si>
    <t xml:space="preserve">                 50 BUSES FOR WORLD CUP CRICKET 1155</t>
  </si>
  <si>
    <t xml:space="preserve">                    17/SFR-JAM - IMMEDIATE RESPONSE TO HURRICANE DEAN</t>
  </si>
  <si>
    <t xml:space="preserve">                    20/SFR-JM AGRICULTURAL SUPPORT</t>
  </si>
  <si>
    <t xml:space="preserve">                     20/SFR-OR-JAM NATURAL DISASTER GUSTAV MANAGEMENT</t>
  </si>
  <si>
    <t xml:space="preserve">                     15/SFR-OR-JAM REHAB OF FLOOD DAMAGE ADDITIONAL LOAN</t>
  </si>
  <si>
    <t xml:space="preserve">                JAMAICA ECONOMIC HOUSING PROJECT</t>
  </si>
  <si>
    <t xml:space="preserve">                 US$750M 8% GLOBAL BOND 2019</t>
  </si>
  <si>
    <t xml:space="preserve">                     1238-P BOGUE ROAD IMPROVEMENT PROJECT</t>
  </si>
  <si>
    <t xml:space="preserve">                    18/SFR-OR- JAM - UTECH ENHANCEMENT PROJECT</t>
  </si>
  <si>
    <t xml:space="preserve">                     2299/OC/JA - HUMAN CAPITAL AND PROTECTION PROGRAM</t>
  </si>
  <si>
    <t xml:space="preserve">                     2272/OC/JA - CITIZEN SECURITY AND JUSTICE PROGRAM 11</t>
  </si>
  <si>
    <t xml:space="preserve">                     2297/OC/JA - COMPETITIVE ENHANCEMENT PROGRAM</t>
  </si>
  <si>
    <t xml:space="preserve">                     2298/OC/JA - PUBLIC FINANCIAL &amp; PERFORMANCE MGMT PROG. 11 </t>
  </si>
  <si>
    <t xml:space="preserve">                     2300/OC/JA - SUPPORT FOR EDUCATION SECTOR REFORM 11 (PBL)</t>
  </si>
  <si>
    <t xml:space="preserve">                     2359/OC/JA - FISCAL CONSOLIDATION PG FIRST PROG OPERATION</t>
  </si>
  <si>
    <t xml:space="preserve">                     2444/OC-JA - AGRICULTURAL COMPETITIVENESS PROGRAM</t>
  </si>
  <si>
    <t xml:space="preserve">                     2301/OC/JA - SUPPORT FOR EDUCATION SECTOR REFORM 11 (Investment)</t>
  </si>
  <si>
    <t xml:space="preserve">                     2502/OC/JA - FISCAL CONSOLIDATION PROGRAM  11</t>
  </si>
  <si>
    <t xml:space="preserve">                     1559/OC/JA -1- SOCIAL PROTECTION SUPPORT FOR FOOD PRICE CRISIS</t>
  </si>
  <si>
    <t xml:space="preserve">                     1562/OC-JA  - NATIONAL IRRIGATION DEVELOPMENT PROGRAM</t>
  </si>
  <si>
    <t xml:space="preserve">                     1264/OC-JA PRIMARY EDUCATION SUPPORT PRG.</t>
  </si>
  <si>
    <t xml:space="preserve">                     7653-JM FISCAL AND DEBT SUSTAINABLILITY DEV POLICY</t>
  </si>
  <si>
    <t xml:space="preserve">                     7769-JM RURAL ECONOMIC DEVELOPMENT PROGRAM</t>
  </si>
  <si>
    <t xml:space="preserve">                     7856-JM FIRST PROGRAM FISCAL SUST. DEVELOP. POLICY LOAN</t>
  </si>
  <si>
    <t xml:space="preserve">                     7815-JM EDUCATION TRANSFORMATION CAPACITY BLDG. PROJECT</t>
  </si>
  <si>
    <t xml:space="preserve">                     2276/OC/JA - ROAD IMPROVEMENT PROGRAM </t>
  </si>
  <si>
    <t xml:space="preserve">                PEOPLES REPUBLIC OF CHINA 20.0MN YUAN </t>
  </si>
  <si>
    <t>STATEMENT VIII</t>
  </si>
  <si>
    <t xml:space="preserve">                     8007-JM ENERGY SECURITY &amp; EFFICIENCY ENHANCEMENT PROJECT</t>
  </si>
  <si>
    <t xml:space="preserve">                Addendum FINANCING OF HALF WAY TREE TRANSPORT CENTRE (1140B 2)</t>
  </si>
  <si>
    <t xml:space="preserve">                     08/SFR-JAM -RURAL ELECTRIFICATION</t>
  </si>
  <si>
    <t xml:space="preserve">                230 JONCKHEERE MISTRAL BUSES, SPARE PARTS AND TOOLS (1195)</t>
  </si>
  <si>
    <t xml:space="preserve">                    13/SFR-OR-JAM -ENHANCEMENT OF BASIC SCHOOL (OCR)</t>
  </si>
  <si>
    <t xml:space="preserve">                     21/SFR-JAM NATURAL DISASTER MGMNT. TROP. STORM NICOLE</t>
  </si>
  <si>
    <t xml:space="preserve">                     2658/OC/JA - FISCAL ADMINISTRATION &amp; MODERNIZ. PROGRAM  </t>
  </si>
  <si>
    <t xml:space="preserve">                MODERNIZATION OF KINGSTON MUNICIPALITY</t>
  </si>
  <si>
    <t xml:space="preserve">                     8084-JM 2ND PROGRAMATIC FISCAL SUSTAINABILITY DEVELOPMENT</t>
  </si>
  <si>
    <t xml:space="preserve">                     2629/OC/JA - ENERGY EFFICIENCY &amp; CONSERVATION PROG.</t>
  </si>
  <si>
    <t xml:space="preserve">                     2519/OC/JA - HUMAN CAPITAL AND PROTECTION PROGRAM 11</t>
  </si>
  <si>
    <t xml:space="preserve">                     654/OC-JA  RURAL TOWNSHIP DEVELOPMENT PROG. 3</t>
  </si>
  <si>
    <t>EXCHANGE RATES</t>
  </si>
  <si>
    <t xml:space="preserve"> AS AT MARCH 31, 2013</t>
  </si>
  <si>
    <t>532-HG-012 A03</t>
  </si>
  <si>
    <t>USD</t>
  </si>
  <si>
    <t>2889/OC-JA - INTEGRATED SOCIAL PROTECTION PROTECTION AND LABOUR PROGRAMME</t>
  </si>
  <si>
    <t xml:space="preserve"> 2013/2014 JAMAICA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</si>
</sst>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-;\-* #,##0.00_-;_-* &quot;-&quot;??_-;_-@_-"/>
    <numFmt numFmtId="165" formatCode="General_)"/>
    <numFmt numFmtId="166" formatCode="#,##0.0000"/>
    <numFmt numFmtId="167" formatCode="_(* #,##0.0000_);_(* \(#,##0.0000\);_(* &quot;-&quot;????_);_(@_)"/>
    <numFmt numFmtId="168" formatCode="#,##0.00_ ;\-#,##0.00\ "/>
    <numFmt numFmtId="169" formatCode="_(* #,##0.0000_);_(* \(#,##0.0000\);_(* &quot;-&quot;??_);_(@_)"/>
    <numFmt numFmtId="170" formatCode="#,##0.000"/>
  </numFmts>
  <fonts count="29" x14ac:knownFonts="1">
    <font>
      <sz val="10"/>
      <name val="Arial"/>
    </font>
    <font>
      <sz val="10"/>
      <name val="Arial"/>
      <family val="2"/>
    </font>
    <font>
      <sz val="12"/>
      <name val="Courier"/>
      <family val="3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ourier"/>
      <family val="3"/>
    </font>
    <font>
      <b/>
      <sz val="8"/>
      <color indexed="50"/>
      <name val="Courier"/>
      <family val="3"/>
    </font>
    <font>
      <b/>
      <sz val="10"/>
      <name val="Arial"/>
      <family val="2"/>
    </font>
    <font>
      <sz val="12"/>
      <name val="Courier"/>
      <family val="3"/>
    </font>
    <font>
      <sz val="8"/>
      <name val="Courier"/>
      <family val="3"/>
    </font>
    <font>
      <sz val="8"/>
      <name val="Arial"/>
      <family val="2"/>
    </font>
    <font>
      <b/>
      <sz val="10"/>
      <color indexed="63"/>
      <name val="Arial"/>
      <family val="2"/>
    </font>
    <font>
      <b/>
      <sz val="10"/>
      <name val="Courier"/>
      <family val="3"/>
    </font>
    <font>
      <sz val="10"/>
      <color indexed="6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color indexed="10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/>
  </cellStyleXfs>
  <cellXfs count="211">
    <xf numFmtId="0" fontId="0" fillId="0" borderId="0" xfId="0"/>
    <xf numFmtId="39" fontId="3" fillId="0" borderId="1" xfId="2" quotePrefix="1" applyNumberFormat="1" applyFont="1" applyFill="1" applyBorder="1" applyAlignment="1" applyProtection="1">
      <alignment horizontal="left"/>
    </xf>
    <xf numFmtId="165" fontId="5" fillId="0" borderId="1" xfId="2" applyFont="1" applyFill="1" applyBorder="1" applyAlignment="1">
      <alignment horizontal="left"/>
    </xf>
    <xf numFmtId="165" fontId="3" fillId="0" borderId="1" xfId="2" applyFont="1" applyFill="1" applyBorder="1"/>
    <xf numFmtId="0" fontId="0" fillId="2" borderId="0" xfId="0" applyFill="1"/>
    <xf numFmtId="165" fontId="2" fillId="0" borderId="1" xfId="2" applyBorder="1"/>
    <xf numFmtId="165" fontId="8" fillId="0" borderId="1" xfId="2" applyFont="1" applyFill="1" applyBorder="1"/>
    <xf numFmtId="165" fontId="8" fillId="0" borderId="1" xfId="2" applyNumberFormat="1" applyFont="1" applyFill="1" applyBorder="1" applyAlignment="1" applyProtection="1">
      <alignment horizontal="left"/>
    </xf>
    <xf numFmtId="43" fontId="2" fillId="0" borderId="0" xfId="1" applyFont="1"/>
    <xf numFmtId="43" fontId="4" fillId="0" borderId="0" xfId="1" applyFont="1"/>
    <xf numFmtId="43" fontId="0" fillId="0" borderId="0" xfId="1" applyFont="1"/>
    <xf numFmtId="1" fontId="2" fillId="0" borderId="0" xfId="2" applyNumberFormat="1"/>
    <xf numFmtId="1" fontId="0" fillId="0" borderId="0" xfId="0" applyNumberFormat="1"/>
    <xf numFmtId="165" fontId="7" fillId="3" borderId="1" xfId="2" applyNumberFormat="1" applyFont="1" applyFill="1" applyBorder="1" applyAlignment="1" applyProtection="1">
      <alignment horizontal="left"/>
    </xf>
    <xf numFmtId="43" fontId="3" fillId="0" borderId="1" xfId="1" applyFont="1" applyFill="1" applyBorder="1"/>
    <xf numFmtId="43" fontId="4" fillId="0" borderId="1" xfId="1" applyFont="1" applyBorder="1"/>
    <xf numFmtId="43" fontId="2" fillId="0" borderId="1" xfId="1" applyFont="1" applyBorder="1"/>
    <xf numFmtId="43" fontId="6" fillId="0" borderId="1" xfId="1" applyFont="1" applyBorder="1"/>
    <xf numFmtId="4" fontId="2" fillId="0" borderId="1" xfId="1" applyNumberFormat="1" applyFont="1" applyBorder="1"/>
    <xf numFmtId="165" fontId="5" fillId="0" borderId="1" xfId="2" applyFont="1" applyFill="1" applyBorder="1"/>
    <xf numFmtId="43" fontId="0" fillId="0" borderId="1" xfId="1" applyFont="1" applyBorder="1"/>
    <xf numFmtId="43" fontId="14" fillId="0" borderId="1" xfId="1" applyFont="1" applyBorder="1"/>
    <xf numFmtId="43" fontId="13" fillId="0" borderId="1" xfId="1" applyFont="1" applyBorder="1"/>
    <xf numFmtId="43" fontId="11" fillId="0" borderId="1" xfId="1" applyFont="1" applyBorder="1"/>
    <xf numFmtId="39" fontId="5" fillId="0" borderId="1" xfId="2" applyNumberFormat="1" applyFont="1" applyFill="1" applyBorder="1" applyAlignment="1" applyProtection="1"/>
    <xf numFmtId="165" fontId="15" fillId="0" borderId="1" xfId="2" applyFont="1" applyBorder="1"/>
    <xf numFmtId="0" fontId="4" fillId="0" borderId="1" xfId="0" applyFont="1" applyBorder="1"/>
    <xf numFmtId="165" fontId="5" fillId="3" borderId="1" xfId="2" applyFont="1" applyFill="1" applyBorder="1"/>
    <xf numFmtId="0" fontId="16" fillId="0" borderId="0" xfId="0" applyFont="1"/>
    <xf numFmtId="43" fontId="0" fillId="0" borderId="0" xfId="1" applyFont="1" applyBorder="1"/>
    <xf numFmtId="1" fontId="0" fillId="0" borderId="0" xfId="0" applyNumberFormat="1" applyBorder="1"/>
    <xf numFmtId="1" fontId="2" fillId="0" borderId="3" xfId="2" applyNumberFormat="1" applyBorder="1"/>
    <xf numFmtId="1" fontId="2" fillId="0" borderId="3" xfId="2" applyNumberFormat="1" applyFont="1" applyBorder="1"/>
    <xf numFmtId="1" fontId="12" fillId="0" borderId="3" xfId="2" applyNumberFormat="1" applyFont="1" applyBorder="1"/>
    <xf numFmtId="1" fontId="12" fillId="0" borderId="3" xfId="1" applyNumberFormat="1" applyFont="1" applyBorder="1"/>
    <xf numFmtId="1" fontId="0" fillId="0" borderId="3" xfId="0" applyNumberFormat="1" applyBorder="1"/>
    <xf numFmtId="1" fontId="14" fillId="0" borderId="3" xfId="0" applyNumberFormat="1" applyFont="1" applyBorder="1"/>
    <xf numFmtId="1" fontId="2" fillId="4" borderId="3" xfId="2" applyNumberFormat="1" applyFont="1" applyFill="1" applyBorder="1"/>
    <xf numFmtId="43" fontId="4" fillId="0" borderId="0" xfId="1" applyFont="1" applyBorder="1"/>
    <xf numFmtId="43" fontId="3" fillId="0" borderId="1" xfId="1" applyFont="1" applyFill="1" applyBorder="1" applyProtection="1"/>
    <xf numFmtId="43" fontId="8" fillId="0" borderId="1" xfId="1" applyFont="1" applyFill="1" applyBorder="1"/>
    <xf numFmtId="43" fontId="10" fillId="0" borderId="1" xfId="1" applyFont="1" applyBorder="1"/>
    <xf numFmtId="43" fontId="8" fillId="0" borderId="1" xfId="1" applyFont="1" applyFill="1" applyBorder="1" applyProtection="1"/>
    <xf numFmtId="43" fontId="7" fillId="3" borderId="1" xfId="1" applyFont="1" applyFill="1" applyBorder="1" applyProtection="1"/>
    <xf numFmtId="43" fontId="2" fillId="0" borderId="1" xfId="1" applyFont="1" applyFill="1" applyBorder="1"/>
    <xf numFmtId="1" fontId="2" fillId="0" borderId="3" xfId="2" applyNumberFormat="1" applyFill="1" applyBorder="1"/>
    <xf numFmtId="0" fontId="0" fillId="0" borderId="0" xfId="0" applyFill="1"/>
    <xf numFmtId="43" fontId="0" fillId="0" borderId="0" xfId="1" applyFont="1" applyFill="1"/>
    <xf numFmtId="4" fontId="8" fillId="0" borderId="1" xfId="2" applyNumberFormat="1" applyFont="1" applyFill="1" applyBorder="1"/>
    <xf numFmtId="4" fontId="20" fillId="0" borderId="0" xfId="0" applyNumberFormat="1" applyFont="1"/>
    <xf numFmtId="4" fontId="8" fillId="3" borderId="1" xfId="2" applyNumberFormat="1" applyFont="1" applyFill="1" applyBorder="1"/>
    <xf numFmtId="4" fontId="20" fillId="0" borderId="0" xfId="0" applyNumberFormat="1" applyFont="1" applyAlignment="1">
      <alignment horizontal="center"/>
    </xf>
    <xf numFmtId="166" fontId="21" fillId="0" borderId="0" xfId="1" applyNumberFormat="1" applyFont="1"/>
    <xf numFmtId="43" fontId="2" fillId="0" borderId="4" xfId="1" applyFont="1" applyBorder="1"/>
    <xf numFmtId="1" fontId="2" fillId="0" borderId="5" xfId="2" applyNumberFormat="1" applyBorder="1"/>
    <xf numFmtId="43" fontId="0" fillId="0" borderId="6" xfId="1" applyFont="1" applyBorder="1"/>
    <xf numFmtId="1" fontId="2" fillId="0" borderId="7" xfId="2" applyNumberFormat="1" applyBorder="1"/>
    <xf numFmtId="0" fontId="0" fillId="0" borderId="1" xfId="0" applyBorder="1"/>
    <xf numFmtId="43" fontId="22" fillId="0" borderId="1" xfId="1" applyFont="1" applyBorder="1"/>
    <xf numFmtId="1" fontId="22" fillId="0" borderId="3" xfId="2" applyNumberFormat="1" applyFont="1" applyBorder="1"/>
    <xf numFmtId="0" fontId="21" fillId="0" borderId="0" xfId="0" applyFont="1"/>
    <xf numFmtId="165" fontId="9" fillId="0" borderId="1" xfId="2" applyNumberFormat="1" applyFont="1" applyFill="1" applyBorder="1" applyAlignment="1" applyProtection="1">
      <alignment horizontal="left"/>
    </xf>
    <xf numFmtId="43" fontId="9" fillId="0" borderId="1" xfId="1" applyFont="1" applyFill="1" applyBorder="1" applyProtection="1"/>
    <xf numFmtId="4" fontId="9" fillId="0" borderId="1" xfId="2" applyNumberFormat="1" applyFont="1" applyFill="1" applyBorder="1"/>
    <xf numFmtId="4" fontId="9" fillId="0" borderId="1" xfId="0" applyNumberFormat="1" applyFont="1" applyBorder="1"/>
    <xf numFmtId="0" fontId="0" fillId="0" borderId="3" xfId="0" applyBorder="1"/>
    <xf numFmtId="4" fontId="23" fillId="0" borderId="1" xfId="2" applyNumberFormat="1" applyFont="1" applyFill="1" applyBorder="1"/>
    <xf numFmtId="4" fontId="10" fillId="0" borderId="1" xfId="2" applyNumberFormat="1" applyFont="1" applyBorder="1"/>
    <xf numFmtId="165" fontId="4" fillId="0" borderId="1" xfId="2" applyFont="1" applyFill="1" applyBorder="1" applyAlignment="1">
      <alignment horizontal="center"/>
    </xf>
    <xf numFmtId="1" fontId="2" fillId="0" borderId="8" xfId="2" applyNumberFormat="1" applyBorder="1"/>
    <xf numFmtId="1" fontId="2" fillId="0" borderId="9" xfId="2" applyNumberFormat="1" applyBorder="1"/>
    <xf numFmtId="1" fontId="18" fillId="3" borderId="3" xfId="2" applyNumberFormat="1" applyFont="1" applyFill="1" applyBorder="1"/>
    <xf numFmtId="165" fontId="25" fillId="0" borderId="1" xfId="2" applyNumberFormat="1" applyFont="1" applyFill="1" applyBorder="1" applyAlignment="1" applyProtection="1">
      <alignment horizontal="left"/>
    </xf>
    <xf numFmtId="165" fontId="26" fillId="0" borderId="1" xfId="2" applyFont="1" applyFill="1" applyBorder="1"/>
    <xf numFmtId="4" fontId="27" fillId="0" borderId="1" xfId="2" applyNumberFormat="1" applyFont="1" applyFill="1" applyBorder="1"/>
    <xf numFmtId="43" fontId="27" fillId="0" borderId="1" xfId="1" applyFont="1" applyFill="1" applyBorder="1"/>
    <xf numFmtId="165" fontId="27" fillId="0" borderId="1" xfId="2" applyNumberFormat="1" applyFont="1" applyFill="1" applyBorder="1" applyAlignment="1" applyProtection="1">
      <alignment horizontal="left"/>
    </xf>
    <xf numFmtId="39" fontId="27" fillId="0" borderId="1" xfId="2" applyNumberFormat="1" applyFont="1" applyFill="1" applyBorder="1" applyAlignment="1" applyProtection="1">
      <alignment horizontal="left"/>
    </xf>
    <xf numFmtId="39" fontId="26" fillId="0" borderId="1" xfId="2" applyNumberFormat="1" applyFont="1" applyFill="1" applyBorder="1" applyAlignment="1" applyProtection="1">
      <alignment horizontal="center"/>
    </xf>
    <xf numFmtId="43" fontId="27" fillId="0" borderId="1" xfId="1" applyFont="1" applyFill="1" applyBorder="1" applyProtection="1"/>
    <xf numFmtId="4" fontId="27" fillId="0" borderId="1" xfId="2" applyNumberFormat="1" applyFont="1" applyFill="1" applyBorder="1" applyProtection="1"/>
    <xf numFmtId="43" fontId="25" fillId="0" borderId="1" xfId="1" applyFont="1" applyFill="1" applyBorder="1" applyProtection="1"/>
    <xf numFmtId="4" fontId="25" fillId="0" borderId="1" xfId="2" applyNumberFormat="1" applyFont="1" applyFill="1" applyBorder="1" applyProtection="1"/>
    <xf numFmtId="39" fontId="26" fillId="0" borderId="1" xfId="2" applyNumberFormat="1" applyFont="1" applyFill="1" applyBorder="1" applyAlignment="1" applyProtection="1">
      <alignment horizontal="left"/>
    </xf>
    <xf numFmtId="4" fontId="25" fillId="0" borderId="1" xfId="2" applyNumberFormat="1" applyFont="1" applyFill="1" applyBorder="1"/>
    <xf numFmtId="165" fontId="27" fillId="0" borderId="1" xfId="2" applyFont="1" applyFill="1" applyBorder="1"/>
    <xf numFmtId="165" fontId="26" fillId="0" borderId="1" xfId="2" applyFont="1" applyFill="1" applyBorder="1" applyAlignment="1">
      <alignment horizontal="center"/>
    </xf>
    <xf numFmtId="43" fontId="25" fillId="0" borderId="1" xfId="1" applyFont="1" applyFill="1" applyBorder="1"/>
    <xf numFmtId="4" fontId="26" fillId="0" borderId="1" xfId="2" applyNumberFormat="1" applyFont="1" applyFill="1" applyBorder="1"/>
    <xf numFmtId="43" fontId="26" fillId="0" borderId="1" xfId="1" applyFont="1" applyFill="1" applyBorder="1"/>
    <xf numFmtId="0" fontId="27" fillId="0" borderId="1" xfId="0" applyFont="1" applyBorder="1"/>
    <xf numFmtId="0" fontId="26" fillId="0" borderId="1" xfId="0" applyFont="1" applyBorder="1"/>
    <xf numFmtId="4" fontId="27" fillId="0" borderId="1" xfId="0" applyNumberFormat="1" applyFont="1" applyBorder="1"/>
    <xf numFmtId="43" fontId="27" fillId="0" borderId="1" xfId="1" applyFont="1" applyBorder="1"/>
    <xf numFmtId="4" fontId="25" fillId="0" borderId="1" xfId="2" applyNumberFormat="1" applyFont="1" applyFill="1" applyBorder="1" applyAlignment="1" applyProtection="1">
      <alignment horizontal="right"/>
    </xf>
    <xf numFmtId="165" fontId="26" fillId="0" borderId="1" xfId="2" applyNumberFormat="1" applyFont="1" applyFill="1" applyBorder="1" applyAlignment="1" applyProtection="1">
      <alignment horizontal="center"/>
    </xf>
    <xf numFmtId="43" fontId="25" fillId="0" borderId="1" xfId="1" applyFont="1" applyFill="1" applyBorder="1" applyAlignment="1" applyProtection="1">
      <alignment horizontal="right"/>
    </xf>
    <xf numFmtId="4" fontId="27" fillId="0" borderId="1" xfId="2" applyNumberFormat="1" applyFont="1" applyFill="1" applyBorder="1" applyAlignment="1" applyProtection="1">
      <alignment horizontal="right"/>
    </xf>
    <xf numFmtId="0" fontId="27" fillId="0" borderId="0" xfId="0" applyFont="1"/>
    <xf numFmtId="4" fontId="25" fillId="0" borderId="1" xfId="1" applyNumberFormat="1" applyFont="1" applyFill="1" applyBorder="1" applyProtection="1">
      <protection locked="0"/>
    </xf>
    <xf numFmtId="165" fontId="27" fillId="0" borderId="1" xfId="2" applyFont="1" applyFill="1" applyBorder="1" applyAlignment="1">
      <alignment horizontal="left"/>
    </xf>
    <xf numFmtId="4" fontId="27" fillId="0" borderId="1" xfId="1" applyNumberFormat="1" applyFont="1" applyFill="1" applyBorder="1" applyProtection="1"/>
    <xf numFmtId="165" fontId="27" fillId="0" borderId="4" xfId="2" applyFont="1" applyFill="1" applyBorder="1" applyAlignment="1">
      <alignment horizontal="left"/>
    </xf>
    <xf numFmtId="165" fontId="26" fillId="0" borderId="4" xfId="2" applyFont="1" applyFill="1" applyBorder="1" applyAlignment="1">
      <alignment horizontal="center"/>
    </xf>
    <xf numFmtId="4" fontId="27" fillId="0" borderId="4" xfId="2" applyNumberFormat="1" applyFont="1" applyFill="1" applyBorder="1"/>
    <xf numFmtId="43" fontId="25" fillId="0" borderId="4" xfId="1" applyFont="1" applyFill="1" applyBorder="1"/>
    <xf numFmtId="165" fontId="9" fillId="0" borderId="1" xfId="2" applyNumberFormat="1" applyFont="1" applyFill="1" applyBorder="1" applyAlignment="1" applyProtection="1">
      <alignment horizontal="center"/>
    </xf>
    <xf numFmtId="39" fontId="9" fillId="0" borderId="1" xfId="2" applyNumberFormat="1" applyFont="1" applyFill="1" applyBorder="1" applyAlignment="1" applyProtection="1">
      <alignment horizontal="left"/>
    </xf>
    <xf numFmtId="39" fontId="4" fillId="0" borderId="1" xfId="2" applyNumberFormat="1" applyFont="1" applyFill="1" applyBorder="1" applyAlignment="1" applyProtection="1">
      <alignment horizontal="center"/>
    </xf>
    <xf numFmtId="4" fontId="9" fillId="0" borderId="1" xfId="2" applyNumberFormat="1" applyFont="1" applyFill="1" applyBorder="1" applyProtection="1"/>
    <xf numFmtId="43" fontId="13" fillId="0" borderId="1" xfId="1" applyFont="1" applyFill="1" applyBorder="1" applyProtection="1"/>
    <xf numFmtId="39" fontId="4" fillId="0" borderId="1" xfId="2" applyNumberFormat="1" applyFont="1" applyFill="1" applyBorder="1" applyAlignment="1" applyProtection="1">
      <alignment horizontal="left"/>
    </xf>
    <xf numFmtId="4" fontId="13" fillId="0" borderId="1" xfId="2" applyNumberFormat="1" applyFont="1" applyFill="1" applyBorder="1"/>
    <xf numFmtId="4" fontId="13" fillId="0" borderId="1" xfId="2" applyNumberFormat="1" applyFont="1" applyFill="1" applyBorder="1" applyProtection="1"/>
    <xf numFmtId="165" fontId="4" fillId="0" borderId="1" xfId="2" applyNumberFormat="1" applyFont="1" applyFill="1" applyBorder="1" applyAlignment="1" applyProtection="1">
      <alignment horizontal="center"/>
    </xf>
    <xf numFmtId="165" fontId="9" fillId="0" borderId="1" xfId="2" applyFont="1" applyFill="1" applyBorder="1" applyAlignment="1">
      <alignment horizontal="left"/>
    </xf>
    <xf numFmtId="43" fontId="9" fillId="0" borderId="1" xfId="1" applyFont="1" applyBorder="1"/>
    <xf numFmtId="43" fontId="9" fillId="0" borderId="1" xfId="1" applyFont="1" applyFill="1" applyBorder="1"/>
    <xf numFmtId="43" fontId="13" fillId="0" borderId="1" xfId="1" applyFont="1" applyFill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165" fontId="4" fillId="0" borderId="1" xfId="2" applyFont="1" applyFill="1" applyBorder="1"/>
    <xf numFmtId="43" fontId="4" fillId="0" borderId="1" xfId="1" applyFont="1" applyFill="1" applyBorder="1"/>
    <xf numFmtId="165" fontId="9" fillId="0" borderId="1" xfId="2" applyFont="1" applyFill="1" applyBorder="1"/>
    <xf numFmtId="4" fontId="9" fillId="0" borderId="0" xfId="0" applyNumberFormat="1" applyFont="1"/>
    <xf numFmtId="43" fontId="9" fillId="0" borderId="0" xfId="1" applyFont="1"/>
    <xf numFmtId="4" fontId="13" fillId="0" borderId="1" xfId="2" applyNumberFormat="1" applyFont="1" applyFill="1" applyBorder="1" applyAlignment="1" applyProtection="1">
      <alignment horizontal="right"/>
    </xf>
    <xf numFmtId="43" fontId="13" fillId="0" borderId="1" xfId="1" applyFont="1" applyFill="1" applyBorder="1" applyAlignment="1" applyProtection="1">
      <alignment horizontal="right"/>
    </xf>
    <xf numFmtId="4" fontId="9" fillId="0" borderId="1" xfId="2" applyNumberFormat="1" applyFont="1" applyFill="1" applyBorder="1" applyAlignment="1" applyProtection="1">
      <alignment horizontal="right"/>
    </xf>
    <xf numFmtId="43" fontId="9" fillId="0" borderId="1" xfId="1" applyFont="1" applyFill="1" applyBorder="1" applyAlignment="1" applyProtection="1">
      <alignment horizontal="right"/>
    </xf>
    <xf numFmtId="0" fontId="9" fillId="0" borderId="0" xfId="0" applyFont="1"/>
    <xf numFmtId="0" fontId="4" fillId="0" borderId="0" xfId="0" applyFont="1"/>
    <xf numFmtId="39" fontId="13" fillId="0" borderId="1" xfId="2" applyNumberFormat="1" applyFont="1" applyFill="1" applyBorder="1" applyAlignment="1" applyProtection="1">
      <alignment horizontal="left"/>
    </xf>
    <xf numFmtId="43" fontId="13" fillId="0" borderId="1" xfId="1" applyFont="1" applyFill="1" applyBorder="1" applyProtection="1">
      <protection locked="0"/>
    </xf>
    <xf numFmtId="165" fontId="13" fillId="0" borderId="1" xfId="2" applyNumberFormat="1" applyFont="1" applyFill="1" applyBorder="1" applyAlignment="1" applyProtection="1">
      <alignment horizontal="left"/>
    </xf>
    <xf numFmtId="43" fontId="8" fillId="0" borderId="0" xfId="1" applyFont="1" applyFill="1" applyBorder="1" applyProtection="1"/>
    <xf numFmtId="165" fontId="13" fillId="0" borderId="6" xfId="2" applyFont="1" applyFill="1" applyBorder="1" applyAlignment="1">
      <alignment horizontal="left"/>
    </xf>
    <xf numFmtId="0" fontId="4" fillId="0" borderId="6" xfId="0" applyFont="1" applyBorder="1"/>
    <xf numFmtId="4" fontId="9" fillId="0" borderId="6" xfId="0" applyNumberFormat="1" applyFont="1" applyBorder="1"/>
    <xf numFmtId="43" fontId="13" fillId="0" borderId="6" xfId="1" applyFont="1" applyBorder="1"/>
    <xf numFmtId="43" fontId="13" fillId="3" borderId="1" xfId="1" applyFont="1" applyFill="1" applyBorder="1" applyProtection="1"/>
    <xf numFmtId="39" fontId="13" fillId="3" borderId="1" xfId="2" applyNumberFormat="1" applyFont="1" applyFill="1" applyBorder="1" applyAlignment="1" applyProtection="1">
      <alignment horizontal="left"/>
    </xf>
    <xf numFmtId="165" fontId="4" fillId="3" borderId="1" xfId="2" applyFont="1" applyFill="1" applyBorder="1"/>
    <xf numFmtId="4" fontId="9" fillId="3" borderId="1" xfId="2" applyNumberFormat="1" applyFont="1" applyFill="1" applyBorder="1"/>
    <xf numFmtId="43" fontId="13" fillId="3" borderId="1" xfId="1" applyFont="1" applyFill="1" applyBorder="1"/>
    <xf numFmtId="43" fontId="13" fillId="0" borderId="0" xfId="1" applyFont="1" applyFill="1" applyBorder="1"/>
    <xf numFmtId="0" fontId="16" fillId="0" borderId="0" xfId="0" applyFont="1" applyFill="1"/>
    <xf numFmtId="169" fontId="0" fillId="0" borderId="0" xfId="1" applyNumberFormat="1" applyFont="1" applyFill="1"/>
    <xf numFmtId="170" fontId="24" fillId="0" borderId="0" xfId="0" applyNumberFormat="1" applyFont="1" applyFill="1"/>
    <xf numFmtId="0" fontId="23" fillId="0" borderId="0" xfId="0" applyFont="1"/>
    <xf numFmtId="165" fontId="9" fillId="0" borderId="1" xfId="2" applyFont="1" applyFill="1" applyBorder="1" applyAlignment="1">
      <alignment horizontal="left" indent="5"/>
    </xf>
    <xf numFmtId="4" fontId="9" fillId="0" borderId="2" xfId="0" applyNumberFormat="1" applyFont="1" applyFill="1" applyBorder="1"/>
    <xf numFmtId="4" fontId="9" fillId="0" borderId="2" xfId="2" applyNumberFormat="1" applyFont="1" applyFill="1" applyBorder="1"/>
    <xf numFmtId="4" fontId="9" fillId="0" borderId="2" xfId="2" applyNumberFormat="1" applyFont="1" applyFill="1" applyBorder="1" applyProtection="1"/>
    <xf numFmtId="0" fontId="0" fillId="0" borderId="0" xfId="0" applyFill="1" applyBorder="1"/>
    <xf numFmtId="164" fontId="0" fillId="0" borderId="0" xfId="0" applyNumberFormat="1" applyFill="1" applyBorder="1"/>
    <xf numFmtId="0" fontId="9" fillId="0" borderId="1" xfId="0" applyFont="1" applyBorder="1" applyAlignment="1">
      <alignment horizontal="left" indent="6"/>
    </xf>
    <xf numFmtId="170" fontId="1" fillId="0" borderId="0" xfId="0" applyNumberFormat="1" applyFont="1" applyFill="1"/>
    <xf numFmtId="4" fontId="9" fillId="0" borderId="1" xfId="1" applyNumberFormat="1" applyFont="1" applyFill="1" applyBorder="1" applyProtection="1"/>
    <xf numFmtId="4" fontId="9" fillId="0" borderId="1" xfId="0" applyNumberFormat="1" applyFont="1" applyFill="1" applyBorder="1"/>
    <xf numFmtId="4" fontId="9" fillId="0" borderId="0" xfId="0" applyNumberFormat="1" applyFont="1" applyFill="1" applyBorder="1"/>
    <xf numFmtId="4" fontId="9" fillId="0" borderId="0" xfId="0" applyNumberFormat="1" applyFont="1" applyFill="1"/>
    <xf numFmtId="4" fontId="9" fillId="0" borderId="1" xfId="1" applyNumberFormat="1" applyFont="1" applyFill="1" applyBorder="1"/>
    <xf numFmtId="164" fontId="0" fillId="0" borderId="0" xfId="0" applyNumberFormat="1" applyFill="1"/>
    <xf numFmtId="43" fontId="0" fillId="0" borderId="0" xfId="0" applyNumberFormat="1" applyFill="1"/>
    <xf numFmtId="164" fontId="21" fillId="0" borderId="0" xfId="0" applyNumberFormat="1" applyFont="1" applyFill="1"/>
    <xf numFmtId="43" fontId="4" fillId="0" borderId="0" xfId="1" applyFont="1" applyFill="1"/>
    <xf numFmtId="167" fontId="0" fillId="0" borderId="0" xfId="0" applyNumberFormat="1" applyFill="1"/>
    <xf numFmtId="43" fontId="19" fillId="0" borderId="0" xfId="1" applyFont="1" applyFill="1"/>
    <xf numFmtId="0" fontId="21" fillId="0" borderId="0" xfId="0" applyFont="1" applyFill="1"/>
    <xf numFmtId="43" fontId="21" fillId="0" borderId="0" xfId="1" applyFont="1" applyFill="1"/>
    <xf numFmtId="4" fontId="0" fillId="0" borderId="0" xfId="0" applyNumberFormat="1" applyFill="1"/>
    <xf numFmtId="0" fontId="0" fillId="0" borderId="1" xfId="0" applyFill="1" applyBorder="1"/>
    <xf numFmtId="168" fontId="0" fillId="0" borderId="0" xfId="0" applyNumberFormat="1" applyFill="1"/>
    <xf numFmtId="43" fontId="13" fillId="0" borderId="0" xfId="1" applyFont="1" applyFill="1"/>
    <xf numFmtId="43" fontId="28" fillId="0" borderId="0" xfId="1" applyFont="1" applyFill="1" applyBorder="1"/>
    <xf numFmtId="4" fontId="9" fillId="0" borderId="3" xfId="2" applyNumberFormat="1" applyFont="1" applyFill="1" applyBorder="1"/>
    <xf numFmtId="43" fontId="9" fillId="0" borderId="10" xfId="1" applyFont="1" applyFill="1" applyBorder="1" applyProtection="1"/>
    <xf numFmtId="43" fontId="0" fillId="0" borderId="0" xfId="0" applyNumberFormat="1" applyFill="1" applyBorder="1"/>
    <xf numFmtId="4" fontId="24" fillId="0" borderId="0" xfId="1" applyNumberFormat="1" applyFont="1" applyFill="1"/>
    <xf numFmtId="4" fontId="24" fillId="0" borderId="0" xfId="0" applyNumberFormat="1" applyFont="1" applyFill="1"/>
    <xf numFmtId="4" fontId="1" fillId="0" borderId="0" xfId="0" applyNumberFormat="1" applyFont="1" applyFill="1"/>
    <xf numFmtId="4" fontId="1" fillId="0" borderId="1" xfId="2" applyNumberFormat="1" applyFont="1" applyFill="1" applyBorder="1"/>
    <xf numFmtId="43" fontId="17" fillId="3" borderId="0" xfId="1" applyFont="1" applyFill="1" applyBorder="1"/>
    <xf numFmtId="0" fontId="0" fillId="0" borderId="5" xfId="0" applyBorder="1"/>
    <xf numFmtId="0" fontId="16" fillId="0" borderId="8" xfId="0" applyFont="1" applyBorder="1"/>
    <xf numFmtId="4" fontId="20" fillId="0" borderId="8" xfId="0" applyNumberFormat="1" applyFont="1" applyBorder="1"/>
    <xf numFmtId="43" fontId="0" fillId="0" borderId="12" xfId="1" applyFont="1" applyBorder="1"/>
    <xf numFmtId="39" fontId="3" fillId="3" borderId="7" xfId="2" applyNumberFormat="1" applyFont="1" applyFill="1" applyBorder="1" applyAlignment="1" applyProtection="1">
      <alignment horizontal="center"/>
    </xf>
    <xf numFmtId="4" fontId="13" fillId="3" borderId="7" xfId="2" applyNumberFormat="1" applyFont="1" applyFill="1" applyBorder="1" applyAlignment="1" applyProtection="1">
      <alignment horizontal="center" wrapText="1"/>
    </xf>
    <xf numFmtId="43" fontId="7" fillId="3" borderId="6" xfId="1" applyFont="1" applyFill="1" applyBorder="1" applyAlignment="1" applyProtection="1">
      <alignment horizontal="center" wrapText="1"/>
    </xf>
    <xf numFmtId="43" fontId="22" fillId="0" borderId="1" xfId="1" applyFont="1" applyFill="1" applyBorder="1"/>
    <xf numFmtId="1" fontId="22" fillId="0" borderId="3" xfId="2" applyNumberFormat="1" applyFont="1" applyFill="1" applyBorder="1"/>
    <xf numFmtId="1" fontId="0" fillId="0" borderId="3" xfId="0" applyNumberFormat="1" applyFill="1" applyBorder="1"/>
    <xf numFmtId="0" fontId="4" fillId="0" borderId="1" xfId="0" applyFont="1" applyFill="1" applyBorder="1"/>
    <xf numFmtId="43" fontId="0" fillId="0" borderId="1" xfId="1" applyFont="1" applyFill="1" applyBorder="1"/>
    <xf numFmtId="43" fontId="1" fillId="0" borderId="1" xfId="1" applyFont="1" applyFill="1" applyBorder="1"/>
    <xf numFmtId="0" fontId="1" fillId="0" borderId="0" xfId="0" applyFont="1"/>
    <xf numFmtId="43" fontId="1" fillId="0" borderId="0" xfId="1" applyFont="1"/>
    <xf numFmtId="165" fontId="7" fillId="0" borderId="1" xfId="2" applyNumberFormat="1" applyFont="1" applyFill="1" applyBorder="1" applyAlignment="1" applyProtection="1">
      <alignment horizontal="left"/>
    </xf>
    <xf numFmtId="3" fontId="13" fillId="0" borderId="7" xfId="2" applyNumberFormat="1" applyFont="1" applyFill="1" applyBorder="1" applyAlignment="1" applyProtection="1">
      <alignment horizontal="center"/>
    </xf>
    <xf numFmtId="3" fontId="13" fillId="0" borderId="11" xfId="2" applyNumberFormat="1" applyFont="1" applyFill="1" applyBorder="1" applyAlignment="1" applyProtection="1">
      <alignment horizontal="center"/>
    </xf>
    <xf numFmtId="3" fontId="13" fillId="0" borderId="13" xfId="2" applyNumberFormat="1" applyFont="1" applyFill="1" applyBorder="1" applyAlignment="1" applyProtection="1">
      <alignment horizontal="center"/>
    </xf>
    <xf numFmtId="3" fontId="7" fillId="0" borderId="3" xfId="2" applyNumberFormat="1" applyFont="1" applyFill="1" applyBorder="1" applyAlignment="1" applyProtection="1">
      <alignment horizontal="center"/>
    </xf>
    <xf numFmtId="3" fontId="7" fillId="0" borderId="9" xfId="2" applyNumberFormat="1" applyFont="1" applyFill="1" applyBorder="1" applyAlignment="1" applyProtection="1">
      <alignment horizontal="center"/>
    </xf>
    <xf numFmtId="3" fontId="7" fillId="0" borderId="10" xfId="2" applyNumberFormat="1" applyFont="1" applyFill="1" applyBorder="1" applyAlignment="1" applyProtection="1">
      <alignment horizontal="center"/>
    </xf>
    <xf numFmtId="3" fontId="13" fillId="0" borderId="3" xfId="2" applyNumberFormat="1" applyFont="1" applyFill="1" applyBorder="1" applyAlignment="1" applyProtection="1">
      <alignment horizontal="center"/>
    </xf>
    <xf numFmtId="3" fontId="13" fillId="0" borderId="9" xfId="2" applyNumberFormat="1" applyFont="1" applyFill="1" applyBorder="1" applyAlignment="1" applyProtection="1">
      <alignment horizontal="center"/>
    </xf>
    <xf numFmtId="3" fontId="13" fillId="0" borderId="10" xfId="2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00"/>
  <sheetViews>
    <sheetView tabSelected="1" zoomScaleNormal="100" workbookViewId="0">
      <pane xSplit="1" topLeftCell="B1" activePane="topRight" state="frozen"/>
      <selection activeCell="A73" sqref="A73"/>
      <selection pane="topRight" activeCell="A2" sqref="A2:D2"/>
    </sheetView>
  </sheetViews>
  <sheetFormatPr defaultRowHeight="12.75" x14ac:dyDescent="0.2"/>
  <cols>
    <col min="1" max="1" width="71.140625" customWidth="1"/>
    <col min="2" max="2" width="8.7109375" style="28" customWidth="1"/>
    <col min="3" max="3" width="16.140625" style="49" customWidth="1"/>
    <col min="4" max="4" width="34.28515625" style="10" customWidth="1"/>
    <col min="5" max="5" width="25" style="10" hidden="1" customWidth="1"/>
    <col min="6" max="6" width="18.42578125" style="12" hidden="1" customWidth="1"/>
    <col min="7" max="7" width="22.85546875" style="9" customWidth="1"/>
    <col min="8" max="8" width="23.5703125" style="10" customWidth="1"/>
  </cols>
  <sheetData>
    <row r="1" spans="1:198" ht="4.5" customHeight="1" x14ac:dyDescent="0.2">
      <c r="A1" s="186"/>
      <c r="B1" s="187"/>
      <c r="C1" s="188"/>
      <c r="D1" s="189"/>
    </row>
    <row r="2" spans="1:198" ht="15" x14ac:dyDescent="0.2">
      <c r="A2" s="202" t="s">
        <v>351</v>
      </c>
      <c r="B2" s="203"/>
      <c r="C2" s="203"/>
      <c r="D2" s="204"/>
      <c r="E2" s="9"/>
      <c r="F2" s="11"/>
    </row>
    <row r="3" spans="1:198" ht="15" x14ac:dyDescent="0.2">
      <c r="A3" s="205" t="s">
        <v>333</v>
      </c>
      <c r="B3" s="206"/>
      <c r="C3" s="206"/>
      <c r="D3" s="207"/>
      <c r="E3" s="38"/>
      <c r="F3" s="69"/>
      <c r="G3" s="38"/>
    </row>
    <row r="4" spans="1:198" ht="15" x14ac:dyDescent="0.2">
      <c r="A4" s="205" t="s">
        <v>99</v>
      </c>
      <c r="B4" s="206"/>
      <c r="C4" s="206"/>
      <c r="D4" s="207"/>
      <c r="E4" s="38"/>
      <c r="F4" s="70"/>
      <c r="G4" s="38"/>
    </row>
    <row r="5" spans="1:198" ht="15" x14ac:dyDescent="0.2">
      <c r="A5" s="208" t="s">
        <v>347</v>
      </c>
      <c r="B5" s="209"/>
      <c r="C5" s="209"/>
      <c r="D5" s="210"/>
      <c r="E5" s="38"/>
      <c r="F5" s="70"/>
      <c r="G5" s="38"/>
    </row>
    <row r="6" spans="1:198" ht="25.5" x14ac:dyDescent="0.2">
      <c r="A6" s="13" t="s">
        <v>98</v>
      </c>
      <c r="B6" s="190" t="s">
        <v>70</v>
      </c>
      <c r="C6" s="191" t="s">
        <v>71</v>
      </c>
      <c r="D6" s="192" t="s">
        <v>72</v>
      </c>
      <c r="E6" s="185" t="s">
        <v>162</v>
      </c>
      <c r="F6" s="71" t="s">
        <v>73</v>
      </c>
      <c r="G6" s="147"/>
    </row>
    <row r="7" spans="1:198" ht="15" x14ac:dyDescent="0.2">
      <c r="A7" s="1"/>
      <c r="B7" s="3"/>
      <c r="C7" s="66"/>
      <c r="D7" s="39"/>
      <c r="E7" s="14"/>
      <c r="F7" s="31"/>
      <c r="G7"/>
    </row>
    <row r="8" spans="1:198" ht="15" x14ac:dyDescent="0.2">
      <c r="A8" s="2"/>
      <c r="B8" s="24" t="s">
        <v>73</v>
      </c>
      <c r="C8" s="63"/>
      <c r="D8" s="40"/>
      <c r="E8" s="15"/>
      <c r="F8" s="31"/>
      <c r="G8"/>
    </row>
    <row r="9" spans="1:198" ht="15" x14ac:dyDescent="0.2">
      <c r="A9" s="5"/>
      <c r="B9" s="25"/>
      <c r="C9" s="67"/>
      <c r="D9" s="41"/>
      <c r="E9" s="16"/>
      <c r="F9" s="31"/>
      <c r="G9"/>
    </row>
    <row r="10" spans="1:198" ht="15.75" x14ac:dyDescent="0.25">
      <c r="A10" s="201"/>
      <c r="B10" s="19" t="s">
        <v>153</v>
      </c>
      <c r="C10" s="63"/>
      <c r="D10" s="40"/>
      <c r="E10" s="17"/>
      <c r="F10" s="31"/>
      <c r="G10"/>
    </row>
    <row r="11" spans="1:198" ht="15.75" x14ac:dyDescent="0.25">
      <c r="A11" s="7"/>
      <c r="B11" s="19"/>
      <c r="C11" s="63"/>
      <c r="D11" s="40"/>
      <c r="E11" s="17"/>
      <c r="F11" s="31"/>
      <c r="G11"/>
    </row>
    <row r="12" spans="1:198" s="199" customFormat="1" ht="15.75" x14ac:dyDescent="0.25">
      <c r="A12" s="136" t="s">
        <v>45</v>
      </c>
      <c r="B12" s="123"/>
      <c r="C12" s="184"/>
      <c r="D12" s="198"/>
      <c r="E12" s="17"/>
      <c r="F12" s="32"/>
      <c r="H12" s="200"/>
    </row>
    <row r="13" spans="1:198" ht="15.75" x14ac:dyDescent="0.25">
      <c r="A13" s="76" t="s">
        <v>73</v>
      </c>
      <c r="B13" s="73"/>
      <c r="C13" s="74"/>
      <c r="D13" s="75"/>
      <c r="E13" s="17"/>
      <c r="F13" s="31"/>
      <c r="G13"/>
    </row>
    <row r="14" spans="1:198" ht="15.75" x14ac:dyDescent="0.25">
      <c r="A14" s="72"/>
      <c r="B14" s="73"/>
      <c r="C14" s="74"/>
      <c r="D14" s="75"/>
      <c r="E14" s="17"/>
      <c r="F14" s="31"/>
      <c r="G14" s="46"/>
      <c r="H14" s="47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</row>
    <row r="15" spans="1:198" ht="15.75" x14ac:dyDescent="0.25">
      <c r="A15" s="107" t="s">
        <v>118</v>
      </c>
      <c r="B15" s="78"/>
      <c r="C15" s="74" t="s">
        <v>73</v>
      </c>
      <c r="D15" s="75"/>
      <c r="E15" s="17"/>
      <c r="F15" s="31"/>
      <c r="G15" s="46"/>
      <c r="H15" s="47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</row>
    <row r="16" spans="1:198" ht="15.75" x14ac:dyDescent="0.25">
      <c r="A16" s="107" t="s">
        <v>180</v>
      </c>
      <c r="B16" s="108" t="s">
        <v>74</v>
      </c>
      <c r="C16" s="63">
        <v>332412</v>
      </c>
      <c r="D16" s="62">
        <v>32872222.68</v>
      </c>
      <c r="E16" s="17"/>
      <c r="F16" s="31"/>
      <c r="G16" s="46"/>
      <c r="H16" s="4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</row>
    <row r="17" spans="1:198" ht="15.75" x14ac:dyDescent="0.25">
      <c r="A17" s="72"/>
      <c r="B17" s="73"/>
      <c r="C17" s="74" t="s">
        <v>73</v>
      </c>
      <c r="D17" s="75"/>
      <c r="E17" s="17"/>
      <c r="F17" s="31"/>
      <c r="G17" s="46"/>
      <c r="H17" s="47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</row>
    <row r="18" spans="1:198" ht="15" x14ac:dyDescent="0.2">
      <c r="A18" s="107" t="s">
        <v>173</v>
      </c>
      <c r="B18" s="108"/>
      <c r="C18" s="109"/>
      <c r="D18" s="110">
        <v>32872222.68</v>
      </c>
      <c r="E18" s="16"/>
      <c r="F18" s="31"/>
      <c r="G18" s="165"/>
      <c r="H18" s="47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</row>
    <row r="19" spans="1:198" ht="15" x14ac:dyDescent="0.2">
      <c r="A19" s="77" t="s">
        <v>73</v>
      </c>
      <c r="B19" s="78"/>
      <c r="C19" s="82"/>
      <c r="D19" s="81"/>
      <c r="E19" s="16"/>
      <c r="F19" s="31"/>
      <c r="G19" s="46"/>
      <c r="H19" s="4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</row>
    <row r="20" spans="1:198" ht="15" x14ac:dyDescent="0.2">
      <c r="A20" s="107" t="s">
        <v>181</v>
      </c>
      <c r="B20" s="73"/>
      <c r="C20" s="74"/>
      <c r="D20" s="75"/>
      <c r="E20" s="16"/>
      <c r="F20" s="31"/>
      <c r="G20" s="46"/>
      <c r="H20" s="4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</row>
    <row r="21" spans="1:198" ht="15" x14ac:dyDescent="0.2">
      <c r="A21" s="107" t="s">
        <v>182</v>
      </c>
      <c r="B21" s="108" t="s">
        <v>74</v>
      </c>
      <c r="C21" s="109">
        <v>300000000</v>
      </c>
      <c r="D21" s="62">
        <v>29667000000</v>
      </c>
      <c r="E21" s="16"/>
      <c r="F21" s="31"/>
      <c r="G21" s="46"/>
      <c r="H21" s="4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</row>
    <row r="22" spans="1:198" ht="15" x14ac:dyDescent="0.2">
      <c r="A22" s="107" t="s">
        <v>183</v>
      </c>
      <c r="B22" s="108" t="s">
        <v>97</v>
      </c>
      <c r="C22" s="109">
        <v>150000000</v>
      </c>
      <c r="D22" s="62">
        <v>19047000000</v>
      </c>
      <c r="E22" s="16">
        <v>150000000</v>
      </c>
      <c r="F22" s="31"/>
      <c r="G22" s="46"/>
      <c r="H22" s="4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</row>
    <row r="23" spans="1:198" ht="15" x14ac:dyDescent="0.2">
      <c r="A23" s="107" t="s">
        <v>184</v>
      </c>
      <c r="B23" s="108" t="s">
        <v>74</v>
      </c>
      <c r="C23" s="109">
        <v>250000000</v>
      </c>
      <c r="D23" s="62">
        <v>24722500000</v>
      </c>
      <c r="E23" s="16"/>
      <c r="F23" s="31"/>
      <c r="G23" s="46"/>
      <c r="H23" s="4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</row>
    <row r="24" spans="1:198" ht="15" x14ac:dyDescent="0.2">
      <c r="A24" s="107" t="s">
        <v>185</v>
      </c>
      <c r="B24" s="108" t="s">
        <v>74</v>
      </c>
      <c r="C24" s="109">
        <v>425000000</v>
      </c>
      <c r="D24" s="62">
        <v>42028250000</v>
      </c>
      <c r="E24" s="16"/>
      <c r="F24" s="31"/>
      <c r="G24" s="46"/>
      <c r="H24" s="4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</row>
    <row r="25" spans="1:198" ht="15" x14ac:dyDescent="0.2">
      <c r="A25" s="107" t="s">
        <v>186</v>
      </c>
      <c r="B25" s="108" t="s">
        <v>74</v>
      </c>
      <c r="C25" s="109">
        <v>250000000</v>
      </c>
      <c r="D25" s="62">
        <v>24722500000</v>
      </c>
      <c r="E25" s="16"/>
      <c r="F25" s="31"/>
      <c r="G25" s="46"/>
      <c r="H25" s="47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</row>
    <row r="26" spans="1:198" ht="15" x14ac:dyDescent="0.2">
      <c r="A26" s="107" t="s">
        <v>187</v>
      </c>
      <c r="B26" s="108" t="s">
        <v>74</v>
      </c>
      <c r="C26" s="109">
        <v>250000000</v>
      </c>
      <c r="D26" s="62">
        <v>24722500000</v>
      </c>
      <c r="E26" s="16"/>
      <c r="F26" s="31"/>
      <c r="G26" s="46"/>
      <c r="H26" s="4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</row>
    <row r="27" spans="1:198" ht="15" x14ac:dyDescent="0.2">
      <c r="A27" s="107" t="s">
        <v>188</v>
      </c>
      <c r="B27" s="108" t="s">
        <v>74</v>
      </c>
      <c r="C27" s="109">
        <v>500000000</v>
      </c>
      <c r="D27" s="62">
        <v>49445000000</v>
      </c>
      <c r="E27" s="16"/>
      <c r="F27" s="31"/>
      <c r="G27" s="46"/>
      <c r="H27" s="47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</row>
    <row r="28" spans="1:198" ht="15" x14ac:dyDescent="0.2">
      <c r="A28" s="107" t="s">
        <v>312</v>
      </c>
      <c r="B28" s="108" t="s">
        <v>74</v>
      </c>
      <c r="C28" s="109">
        <v>750000000</v>
      </c>
      <c r="D28" s="62">
        <v>74167500000</v>
      </c>
      <c r="E28" s="16"/>
      <c r="F28" s="31"/>
      <c r="G28" s="46"/>
      <c r="H28" s="4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</row>
    <row r="29" spans="1:198" ht="15" x14ac:dyDescent="0.2">
      <c r="A29" s="77"/>
      <c r="B29" s="78"/>
      <c r="C29" s="80"/>
      <c r="D29" s="79"/>
      <c r="E29" s="16"/>
      <c r="F29" s="31"/>
      <c r="G29" s="46"/>
      <c r="H29" s="47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</row>
    <row r="30" spans="1:198" ht="15" x14ac:dyDescent="0.2">
      <c r="A30" s="107" t="s">
        <v>189</v>
      </c>
      <c r="B30" s="111" t="s">
        <v>73</v>
      </c>
      <c r="C30" s="110"/>
      <c r="D30" s="110">
        <v>288522250000</v>
      </c>
      <c r="E30" s="16"/>
      <c r="F30" s="31"/>
      <c r="G30" s="47"/>
      <c r="H30" s="47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</row>
    <row r="31" spans="1:198" ht="15" x14ac:dyDescent="0.2">
      <c r="A31" s="85"/>
      <c r="B31" s="83" t="s">
        <v>73</v>
      </c>
      <c r="C31" s="74"/>
      <c r="D31" s="75"/>
      <c r="E31" s="16"/>
      <c r="F31" s="31"/>
      <c r="G31" s="46"/>
      <c r="H31" s="47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</row>
    <row r="32" spans="1:198" ht="15" x14ac:dyDescent="0.2">
      <c r="A32" s="77"/>
      <c r="B32" s="83"/>
      <c r="C32" s="74"/>
      <c r="D32" s="75"/>
      <c r="E32" s="16"/>
      <c r="F32" s="31"/>
      <c r="G32" s="46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</row>
    <row r="33" spans="1:198" ht="15" x14ac:dyDescent="0.2">
      <c r="A33" s="77"/>
      <c r="B33" s="78"/>
      <c r="C33" s="82"/>
      <c r="D33" s="81"/>
      <c r="E33" s="16"/>
      <c r="F33" s="31"/>
      <c r="G33" s="46"/>
      <c r="H33" s="47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</row>
    <row r="34" spans="1:198" ht="15" x14ac:dyDescent="0.2">
      <c r="A34" s="107" t="s">
        <v>191</v>
      </c>
      <c r="B34" s="108"/>
      <c r="C34" s="113"/>
      <c r="D34" s="110"/>
      <c r="E34" s="16"/>
      <c r="F34" s="31"/>
      <c r="G34" s="46"/>
      <c r="H34" s="47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</row>
    <row r="35" spans="1:198" ht="15" x14ac:dyDescent="0.2">
      <c r="A35" s="61" t="s">
        <v>190</v>
      </c>
      <c r="B35" s="108" t="s">
        <v>106</v>
      </c>
      <c r="C35" s="63">
        <v>853684.74</v>
      </c>
      <c r="D35" s="62">
        <v>128181617.39574</v>
      </c>
      <c r="E35" s="16">
        <f>5631237.98-900000</f>
        <v>4731237.9800000004</v>
      </c>
      <c r="F35" s="31"/>
      <c r="G35" s="46"/>
      <c r="H35" s="47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</row>
    <row r="36" spans="1:198" ht="15" x14ac:dyDescent="0.2">
      <c r="A36" s="76"/>
      <c r="B36" s="78"/>
      <c r="C36" s="74" t="s">
        <v>73</v>
      </c>
      <c r="D36" s="81"/>
      <c r="E36" s="16"/>
      <c r="F36" s="31"/>
      <c r="G36" s="46"/>
      <c r="H36" s="47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</row>
    <row r="37" spans="1:198" ht="15" x14ac:dyDescent="0.2">
      <c r="A37" s="107" t="s">
        <v>192</v>
      </c>
      <c r="B37" s="108"/>
      <c r="C37" s="63" t="s">
        <v>73</v>
      </c>
      <c r="D37" s="110">
        <v>128181617.39574</v>
      </c>
      <c r="E37" s="16"/>
      <c r="F37" s="31"/>
      <c r="G37" s="165"/>
      <c r="H37" s="47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</row>
    <row r="38" spans="1:198" ht="15" x14ac:dyDescent="0.2">
      <c r="A38" s="76" t="s">
        <v>147</v>
      </c>
      <c r="B38" s="78"/>
      <c r="C38" s="74"/>
      <c r="D38" s="81"/>
      <c r="E38" s="16"/>
      <c r="F38" s="31"/>
      <c r="G38" s="46"/>
      <c r="H38" s="47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</row>
    <row r="39" spans="1:198" ht="15" x14ac:dyDescent="0.2">
      <c r="A39" s="61" t="s">
        <v>195</v>
      </c>
      <c r="B39" s="108"/>
      <c r="C39" s="63"/>
      <c r="D39" s="110"/>
      <c r="E39" s="16"/>
      <c r="F39" s="31"/>
      <c r="G39" s="46"/>
      <c r="H39" s="47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</row>
    <row r="40" spans="1:198" ht="15" x14ac:dyDescent="0.2">
      <c r="A40" s="61" t="s">
        <v>193</v>
      </c>
      <c r="B40" s="108"/>
      <c r="C40" s="63"/>
      <c r="D40" s="110"/>
      <c r="E40" s="16"/>
      <c r="F40" s="31"/>
      <c r="G40" s="46"/>
      <c r="H40" s="47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</row>
    <row r="41" spans="1:198" ht="15" x14ac:dyDescent="0.2">
      <c r="A41" s="61" t="s">
        <v>194</v>
      </c>
      <c r="B41" s="108" t="s">
        <v>74</v>
      </c>
      <c r="C41" s="63">
        <v>8834301.6699999999</v>
      </c>
      <c r="D41" s="62">
        <v>873624092.14629996</v>
      </c>
      <c r="E41" s="18">
        <f>10628760</f>
        <v>10628760</v>
      </c>
      <c r="F41" s="31"/>
      <c r="G41" s="46"/>
      <c r="H41" s="47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</row>
    <row r="42" spans="1:198" ht="15" x14ac:dyDescent="0.2">
      <c r="A42" s="61"/>
      <c r="B42" s="108"/>
      <c r="C42" s="63"/>
      <c r="D42" s="110"/>
      <c r="E42" s="18"/>
      <c r="F42" s="31"/>
      <c r="G42" s="46"/>
      <c r="H42" s="47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</row>
    <row r="43" spans="1:198" ht="15" x14ac:dyDescent="0.2">
      <c r="A43" s="61" t="s">
        <v>196</v>
      </c>
      <c r="B43" s="108"/>
      <c r="C43" s="63"/>
      <c r="D43" s="110">
        <v>873624092.14629996</v>
      </c>
      <c r="E43" s="18"/>
      <c r="F43" s="31"/>
      <c r="G43" s="165"/>
      <c r="H43" s="47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</row>
    <row r="44" spans="1:198" ht="15" x14ac:dyDescent="0.2">
      <c r="A44" s="76"/>
      <c r="B44" s="78"/>
      <c r="C44" s="74"/>
      <c r="D44" s="79"/>
      <c r="E44" s="18"/>
      <c r="F44" s="31"/>
      <c r="G44" s="46"/>
      <c r="H44" s="47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</row>
    <row r="45" spans="1:198" ht="15" x14ac:dyDescent="0.2">
      <c r="A45" s="61" t="s">
        <v>197</v>
      </c>
      <c r="B45" s="108"/>
      <c r="C45" s="63"/>
      <c r="D45" s="62"/>
      <c r="E45" s="18"/>
      <c r="F45" s="31"/>
      <c r="G45" s="46"/>
      <c r="H45" s="47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</row>
    <row r="46" spans="1:198" ht="15" x14ac:dyDescent="0.2">
      <c r="A46" s="61" t="s">
        <v>198</v>
      </c>
      <c r="B46" s="108" t="s">
        <v>97</v>
      </c>
      <c r="C46" s="63">
        <v>23727357</v>
      </c>
      <c r="D46" s="62">
        <v>3012899791.8600001</v>
      </c>
      <c r="E46" s="18"/>
      <c r="F46" s="31"/>
      <c r="G46" s="46"/>
      <c r="H46" s="47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</row>
    <row r="47" spans="1:198" ht="15" x14ac:dyDescent="0.2">
      <c r="A47" s="61" t="s">
        <v>199</v>
      </c>
      <c r="B47" s="108" t="s">
        <v>97</v>
      </c>
      <c r="C47" s="63">
        <v>5513186.3200000003</v>
      </c>
      <c r="D47" s="62">
        <v>700064398.91360009</v>
      </c>
      <c r="E47" s="18"/>
      <c r="F47" s="31"/>
      <c r="G47" s="46"/>
      <c r="H47" s="47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</row>
    <row r="48" spans="1:198" ht="15" x14ac:dyDescent="0.2">
      <c r="A48" s="61" t="s">
        <v>335</v>
      </c>
      <c r="B48" s="108" t="s">
        <v>97</v>
      </c>
      <c r="C48" s="63">
        <v>2351762</v>
      </c>
      <c r="D48" s="62">
        <v>298626738.75999999</v>
      </c>
      <c r="E48" s="18"/>
      <c r="F48" s="31"/>
      <c r="G48" s="46"/>
      <c r="H48" s="4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</row>
    <row r="49" spans="1:198" ht="15" x14ac:dyDescent="0.2">
      <c r="A49" s="61" t="s">
        <v>305</v>
      </c>
      <c r="B49" s="108" t="s">
        <v>97</v>
      </c>
      <c r="C49" s="63">
        <v>9741545</v>
      </c>
      <c r="D49" s="62">
        <v>1236981384.1000001</v>
      </c>
      <c r="E49" s="18"/>
      <c r="F49" s="31"/>
      <c r="G49" s="46"/>
      <c r="H49" s="47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</row>
    <row r="50" spans="1:198" ht="15" x14ac:dyDescent="0.2">
      <c r="A50" s="61" t="s">
        <v>273</v>
      </c>
      <c r="B50" s="108" t="s">
        <v>97</v>
      </c>
      <c r="C50" s="63">
        <v>5974500</v>
      </c>
      <c r="D50" s="62">
        <v>758642010</v>
      </c>
      <c r="E50" s="18"/>
      <c r="F50" s="31"/>
      <c r="G50" s="46"/>
      <c r="H50" s="47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</row>
    <row r="51" spans="1:198" ht="15" x14ac:dyDescent="0.2">
      <c r="A51" s="61" t="s">
        <v>303</v>
      </c>
      <c r="B51" s="108" t="s">
        <v>97</v>
      </c>
      <c r="C51" s="63">
        <v>6181274</v>
      </c>
      <c r="D51" s="62">
        <v>784898172.51999998</v>
      </c>
      <c r="E51" s="18"/>
      <c r="F51" s="31"/>
      <c r="G51" s="46"/>
      <c r="H51" s="47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</row>
    <row r="52" spans="1:198" ht="15" x14ac:dyDescent="0.2">
      <c r="A52" s="61" t="s">
        <v>304</v>
      </c>
      <c r="B52" s="108" t="s">
        <v>97</v>
      </c>
      <c r="C52" s="63">
        <v>41098861</v>
      </c>
      <c r="D52" s="62">
        <v>5218733369.7799997</v>
      </c>
      <c r="E52" s="18"/>
      <c r="F52" s="31"/>
      <c r="G52" s="46"/>
      <c r="H52" s="47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</row>
    <row r="53" spans="1:198" ht="15" x14ac:dyDescent="0.2">
      <c r="A53" s="61" t="s">
        <v>337</v>
      </c>
      <c r="B53" s="108" t="s">
        <v>97</v>
      </c>
      <c r="C53" s="63">
        <v>21250000</v>
      </c>
      <c r="D53" s="62">
        <v>2698325000</v>
      </c>
      <c r="E53" s="18"/>
      <c r="F53" s="31"/>
      <c r="G53" s="46"/>
      <c r="H53" s="47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</row>
    <row r="54" spans="1:198" ht="15" x14ac:dyDescent="0.2">
      <c r="A54" s="61"/>
      <c r="B54" s="108"/>
      <c r="C54" s="63"/>
      <c r="D54" s="62"/>
      <c r="E54" s="18"/>
      <c r="F54" s="31"/>
      <c r="G54" s="46"/>
      <c r="H54" s="47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</row>
    <row r="55" spans="1:198" ht="15" x14ac:dyDescent="0.2">
      <c r="A55" s="107" t="s">
        <v>200</v>
      </c>
      <c r="B55" s="108"/>
      <c r="C55" s="63"/>
      <c r="D55" s="110">
        <v>14709170865.933601</v>
      </c>
      <c r="E55" s="18"/>
      <c r="F55" s="31"/>
      <c r="G55" s="165"/>
      <c r="H55" s="47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</row>
    <row r="56" spans="1:198" ht="15" x14ac:dyDescent="0.2">
      <c r="A56" s="76"/>
      <c r="B56" s="78"/>
      <c r="C56" s="74"/>
      <c r="D56" s="79"/>
      <c r="E56" s="18"/>
      <c r="F56" s="31"/>
      <c r="G56" s="137"/>
      <c r="H56" s="47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</row>
    <row r="57" spans="1:198" ht="15" x14ac:dyDescent="0.2">
      <c r="A57" s="61" t="s">
        <v>204</v>
      </c>
      <c r="B57" s="108"/>
      <c r="C57" s="63"/>
      <c r="D57" s="62"/>
      <c r="E57" s="18"/>
      <c r="F57" s="31"/>
      <c r="G57" s="46"/>
      <c r="H57" s="47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</row>
    <row r="58" spans="1:198" ht="15" x14ac:dyDescent="0.2">
      <c r="A58" s="61" t="s">
        <v>201</v>
      </c>
      <c r="B58" s="108" t="s">
        <v>74</v>
      </c>
      <c r="C58" s="63">
        <v>526828</v>
      </c>
      <c r="D58" s="62">
        <v>52098020.920000002</v>
      </c>
      <c r="E58" s="18"/>
      <c r="F58" s="31"/>
      <c r="G58" s="46"/>
      <c r="H58" s="47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</row>
    <row r="59" spans="1:198" ht="15" x14ac:dyDescent="0.2">
      <c r="A59" s="61" t="s">
        <v>202</v>
      </c>
      <c r="B59" s="108" t="s">
        <v>74</v>
      </c>
      <c r="C59" s="63">
        <v>2076785</v>
      </c>
      <c r="D59" s="62">
        <v>205373268.65000001</v>
      </c>
      <c r="E59" s="18"/>
      <c r="F59" s="31"/>
      <c r="G59" s="46"/>
      <c r="H59" s="47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</row>
    <row r="60" spans="1:198" ht="15" x14ac:dyDescent="0.2">
      <c r="A60" s="61"/>
      <c r="B60" s="108"/>
      <c r="C60" s="63"/>
      <c r="D60" s="62"/>
      <c r="E60" s="18"/>
      <c r="F60" s="31"/>
      <c r="G60" s="46"/>
      <c r="H60" s="47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</row>
    <row r="61" spans="1:198" ht="15" x14ac:dyDescent="0.2">
      <c r="A61" s="107" t="s">
        <v>203</v>
      </c>
      <c r="B61" s="108"/>
      <c r="C61" s="63"/>
      <c r="D61" s="110">
        <v>257471289.56999999</v>
      </c>
      <c r="E61" s="18"/>
      <c r="F61" s="31"/>
      <c r="G61" s="165"/>
      <c r="H61" s="47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</row>
    <row r="62" spans="1:198" ht="15" x14ac:dyDescent="0.2">
      <c r="A62" s="76"/>
      <c r="B62" s="78"/>
      <c r="C62" s="74"/>
      <c r="D62" s="79"/>
      <c r="E62" s="18"/>
      <c r="F62" s="31"/>
      <c r="G62" s="46"/>
      <c r="H62" s="47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</row>
    <row r="63" spans="1:198" ht="15" x14ac:dyDescent="0.2">
      <c r="A63" s="61" t="s">
        <v>205</v>
      </c>
      <c r="B63" s="108"/>
      <c r="C63" s="63"/>
      <c r="D63" s="62"/>
      <c r="E63" s="18"/>
      <c r="F63" s="31"/>
      <c r="G63" s="46"/>
      <c r="H63" s="47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</row>
    <row r="64" spans="1:198" ht="15" x14ac:dyDescent="0.2">
      <c r="A64" s="61" t="s">
        <v>206</v>
      </c>
      <c r="B64" s="108" t="s">
        <v>74</v>
      </c>
      <c r="C64" s="63">
        <v>40625000</v>
      </c>
      <c r="D64" s="62">
        <v>4017406250</v>
      </c>
      <c r="E64" s="18"/>
      <c r="F64" s="31"/>
      <c r="G64" s="46"/>
      <c r="H64" s="47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</row>
    <row r="65" spans="1:198" ht="15" x14ac:dyDescent="0.2">
      <c r="A65" s="61" t="s">
        <v>207</v>
      </c>
      <c r="B65" s="108" t="s">
        <v>74</v>
      </c>
      <c r="C65" s="63">
        <v>5631500</v>
      </c>
      <c r="D65" s="62">
        <v>556899035</v>
      </c>
      <c r="E65" s="18"/>
      <c r="F65" s="31"/>
      <c r="G65" s="46"/>
      <c r="H65" s="47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</row>
    <row r="66" spans="1:198" ht="15" x14ac:dyDescent="0.2">
      <c r="A66" s="61"/>
      <c r="B66" s="108"/>
      <c r="C66" s="63"/>
      <c r="D66" s="62"/>
      <c r="E66" s="18"/>
      <c r="F66" s="31"/>
      <c r="G66" s="46"/>
      <c r="H66" s="47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</row>
    <row r="67" spans="1:198" ht="15" x14ac:dyDescent="0.2">
      <c r="A67" s="107" t="s">
        <v>208</v>
      </c>
      <c r="B67" s="108"/>
      <c r="C67" s="63"/>
      <c r="D67" s="110">
        <v>4574305285</v>
      </c>
      <c r="E67" s="18"/>
      <c r="F67" s="31"/>
      <c r="G67" s="165"/>
      <c r="H67" s="47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</row>
    <row r="68" spans="1:198" ht="15" x14ac:dyDescent="0.2">
      <c r="A68" s="76"/>
      <c r="B68" s="78"/>
      <c r="C68" s="74"/>
      <c r="D68" s="79"/>
      <c r="E68" s="18"/>
      <c r="F68" s="31"/>
      <c r="G68" s="46"/>
      <c r="H68" s="47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</row>
    <row r="69" spans="1:198" ht="15" x14ac:dyDescent="0.2">
      <c r="A69" s="76"/>
      <c r="B69" s="78"/>
      <c r="C69" s="74"/>
      <c r="D69" s="79"/>
      <c r="E69" s="18"/>
      <c r="F69" s="31"/>
      <c r="G69" s="46"/>
      <c r="H69" s="47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</row>
    <row r="70" spans="1:198" ht="15" x14ac:dyDescent="0.2">
      <c r="A70" s="76"/>
      <c r="B70" s="78"/>
      <c r="C70" s="74"/>
      <c r="D70" s="79"/>
      <c r="E70" s="18"/>
      <c r="F70" s="31"/>
      <c r="G70" s="46"/>
      <c r="H70" s="47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</row>
    <row r="71" spans="1:198" ht="15" x14ac:dyDescent="0.2">
      <c r="A71" s="61" t="s">
        <v>209</v>
      </c>
      <c r="B71" s="108"/>
      <c r="C71" s="63"/>
      <c r="D71" s="62"/>
      <c r="E71" s="18"/>
      <c r="F71" s="31"/>
      <c r="G71" s="46"/>
      <c r="H71" s="47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</row>
    <row r="72" spans="1:198" ht="15" x14ac:dyDescent="0.2">
      <c r="A72" s="61" t="s">
        <v>210</v>
      </c>
      <c r="B72" s="108" t="s">
        <v>74</v>
      </c>
      <c r="C72" s="63">
        <v>5832674</v>
      </c>
      <c r="D72" s="62">
        <v>576793131.86000001</v>
      </c>
      <c r="E72" s="18"/>
      <c r="F72" s="31"/>
      <c r="G72" s="46"/>
      <c r="H72" s="47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</row>
    <row r="73" spans="1:198" ht="15" x14ac:dyDescent="0.2">
      <c r="A73" s="61"/>
      <c r="B73" s="108"/>
      <c r="C73" s="63"/>
      <c r="D73" s="62">
        <v>0</v>
      </c>
      <c r="E73" s="18"/>
      <c r="F73" s="31"/>
      <c r="G73" s="46"/>
      <c r="H73" s="47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</row>
    <row r="74" spans="1:198" ht="15" x14ac:dyDescent="0.2">
      <c r="A74" s="61" t="s">
        <v>272</v>
      </c>
      <c r="B74" s="108"/>
      <c r="C74" s="63"/>
      <c r="D74" s="110">
        <v>576793131.86000001</v>
      </c>
      <c r="E74" s="18"/>
      <c r="F74" s="31"/>
      <c r="G74" s="165"/>
      <c r="H74" s="47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</row>
    <row r="75" spans="1:198" ht="15" x14ac:dyDescent="0.2">
      <c r="A75" s="76"/>
      <c r="B75" s="78"/>
      <c r="C75" s="74"/>
      <c r="D75" s="79"/>
      <c r="E75" s="18"/>
      <c r="F75" s="31"/>
      <c r="G75" s="46"/>
      <c r="H75" s="47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</row>
    <row r="76" spans="1:198" ht="15" x14ac:dyDescent="0.2">
      <c r="A76" s="77"/>
      <c r="B76" s="86"/>
      <c r="C76" s="74"/>
      <c r="D76" s="79"/>
      <c r="E76" s="16"/>
      <c r="F76" s="31"/>
      <c r="G76" s="46"/>
      <c r="H76" s="47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</row>
    <row r="77" spans="1:198" ht="15" x14ac:dyDescent="0.2">
      <c r="A77" s="77"/>
      <c r="B77" s="86"/>
      <c r="C77" s="74"/>
      <c r="D77" s="79"/>
      <c r="E77" s="16"/>
      <c r="F77" s="31"/>
      <c r="G77" s="46"/>
      <c r="H77" s="47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</row>
    <row r="78" spans="1:198" ht="15" x14ac:dyDescent="0.2">
      <c r="A78" s="136" t="s">
        <v>100</v>
      </c>
      <c r="B78" s="123"/>
      <c r="C78" s="63"/>
      <c r="D78" s="118">
        <v>309674668504.58563</v>
      </c>
      <c r="E78" s="16"/>
      <c r="F78" s="31"/>
      <c r="G78" s="166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</row>
    <row r="79" spans="1:198" ht="15" x14ac:dyDescent="0.2">
      <c r="A79" s="76"/>
      <c r="B79" s="73"/>
      <c r="C79" s="88"/>
      <c r="D79" s="89"/>
      <c r="E79" s="16"/>
      <c r="F79" s="31"/>
      <c r="G79" s="46"/>
      <c r="H79" s="47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</row>
    <row r="80" spans="1:198" ht="15" x14ac:dyDescent="0.2">
      <c r="A80" s="85"/>
      <c r="B80" s="73"/>
      <c r="C80" s="88"/>
      <c r="D80" s="89"/>
      <c r="E80" s="16"/>
      <c r="F80" s="31"/>
      <c r="G80" s="46"/>
      <c r="H80" s="47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</row>
    <row r="81" spans="1:198" ht="15" x14ac:dyDescent="0.2">
      <c r="A81" s="134" t="s">
        <v>46</v>
      </c>
      <c r="B81" s="73"/>
      <c r="C81" s="74"/>
      <c r="D81" s="89"/>
      <c r="E81" s="16"/>
      <c r="F81" s="31"/>
      <c r="G81" s="46"/>
      <c r="H81" s="47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</row>
    <row r="82" spans="1:198" ht="15" x14ac:dyDescent="0.2">
      <c r="A82" s="77" t="s">
        <v>73</v>
      </c>
      <c r="B82" s="83" t="s">
        <v>73</v>
      </c>
      <c r="C82" s="74"/>
      <c r="D82" s="89"/>
      <c r="E82" s="16"/>
      <c r="F82" s="31"/>
      <c r="G82" s="46"/>
      <c r="H82" s="47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</row>
    <row r="83" spans="1:198" s="46" customFormat="1" ht="15" x14ac:dyDescent="0.2">
      <c r="A83" s="107" t="s">
        <v>48</v>
      </c>
      <c r="B83" s="123"/>
      <c r="C83" s="63"/>
      <c r="D83" s="124"/>
      <c r="E83" s="44"/>
      <c r="F83" s="45"/>
      <c r="G83" s="166"/>
      <c r="H83" s="47"/>
    </row>
    <row r="84" spans="1:198" ht="15" x14ac:dyDescent="0.2">
      <c r="A84" s="107" t="s">
        <v>75</v>
      </c>
      <c r="B84" s="123"/>
      <c r="C84" s="63"/>
      <c r="D84" s="124"/>
      <c r="E84" s="16"/>
      <c r="F84" s="31"/>
      <c r="G84" s="47"/>
      <c r="H84" s="47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</row>
    <row r="85" spans="1:198" ht="15" x14ac:dyDescent="0.2">
      <c r="A85" s="125" t="s">
        <v>122</v>
      </c>
      <c r="B85" s="68" t="s">
        <v>74</v>
      </c>
      <c r="C85" s="63">
        <v>338175</v>
      </c>
      <c r="D85" s="62">
        <v>33442125.75</v>
      </c>
      <c r="E85" s="16"/>
      <c r="F85" s="31"/>
      <c r="G85" s="166"/>
      <c r="H85" s="47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</row>
    <row r="86" spans="1:198" ht="15" x14ac:dyDescent="0.2">
      <c r="A86" s="125" t="s">
        <v>121</v>
      </c>
      <c r="B86" s="68" t="s">
        <v>74</v>
      </c>
      <c r="C86" s="164">
        <v>9788935.2899999991</v>
      </c>
      <c r="D86" s="62">
        <v>968027810.82809997</v>
      </c>
      <c r="E86" s="16"/>
      <c r="F86" s="32" t="s">
        <v>73</v>
      </c>
      <c r="G86" s="166"/>
      <c r="H86" s="47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</row>
    <row r="87" spans="1:198" ht="15" x14ac:dyDescent="0.2">
      <c r="A87" s="125" t="s">
        <v>120</v>
      </c>
      <c r="B87" s="68" t="s">
        <v>74</v>
      </c>
      <c r="C87" s="63">
        <v>0</v>
      </c>
      <c r="D87" s="62">
        <v>0</v>
      </c>
      <c r="E87" s="16" t="s">
        <v>73</v>
      </c>
      <c r="F87" s="31"/>
      <c r="G87" s="46"/>
      <c r="H87" s="47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</row>
    <row r="88" spans="1:198" ht="15" x14ac:dyDescent="0.2">
      <c r="A88" s="125" t="s">
        <v>119</v>
      </c>
      <c r="B88" s="68" t="s">
        <v>74</v>
      </c>
      <c r="C88" s="63">
        <v>2725734</v>
      </c>
      <c r="D88" s="62">
        <v>269547835.25999999</v>
      </c>
      <c r="E88" s="16" t="s">
        <v>73</v>
      </c>
      <c r="F88" s="31"/>
      <c r="G88" s="46"/>
      <c r="H88" s="47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</row>
    <row r="89" spans="1:198" ht="15" x14ac:dyDescent="0.2">
      <c r="A89" s="125" t="s">
        <v>165</v>
      </c>
      <c r="B89" s="68" t="s">
        <v>74</v>
      </c>
      <c r="C89" s="63">
        <v>231159.22</v>
      </c>
      <c r="D89" s="62">
        <v>22859335.265799999</v>
      </c>
      <c r="E89" s="16"/>
      <c r="F89" s="31"/>
      <c r="G89" s="46"/>
      <c r="H89" s="47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</row>
    <row r="90" spans="1:198" ht="15" x14ac:dyDescent="0.2">
      <c r="A90" s="152" t="s">
        <v>348</v>
      </c>
      <c r="B90" s="68" t="s">
        <v>74</v>
      </c>
      <c r="C90" s="178">
        <v>3000000</v>
      </c>
      <c r="D90" s="179">
        <v>296670000</v>
      </c>
      <c r="E90" s="16"/>
      <c r="F90" s="31"/>
      <c r="G90" s="46"/>
      <c r="H90" s="47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</row>
    <row r="91" spans="1:198" ht="15" x14ac:dyDescent="0.2">
      <c r="A91" s="119"/>
      <c r="B91" s="68" t="s">
        <v>73</v>
      </c>
      <c r="C91" s="126"/>
      <c r="D91" s="127"/>
      <c r="E91" s="16">
        <v>125000000</v>
      </c>
      <c r="F91" s="31"/>
      <c r="G91" s="46"/>
      <c r="H91" s="47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</row>
    <row r="92" spans="1:198" ht="15" x14ac:dyDescent="0.2">
      <c r="A92" s="107" t="s">
        <v>76</v>
      </c>
      <c r="B92" s="123"/>
      <c r="C92" s="110"/>
      <c r="D92" s="110">
        <v>1590547107.1039</v>
      </c>
      <c r="E92" s="16"/>
      <c r="F92" s="31"/>
      <c r="H92" s="16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</row>
    <row r="93" spans="1:198" ht="15" x14ac:dyDescent="0.2">
      <c r="A93" s="77"/>
      <c r="B93" s="73"/>
      <c r="C93" s="84"/>
      <c r="D93" s="81"/>
      <c r="E93" s="16"/>
      <c r="F93" s="31"/>
      <c r="H93" s="16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</row>
    <row r="94" spans="1:198" ht="15" x14ac:dyDescent="0.2">
      <c r="A94" s="77"/>
      <c r="B94" s="73"/>
      <c r="C94" s="84"/>
      <c r="D94" s="81"/>
      <c r="E94" s="16"/>
      <c r="F94" s="31"/>
      <c r="H94" s="177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</row>
    <row r="95" spans="1:198" ht="15" x14ac:dyDescent="0.2">
      <c r="A95" s="107" t="s">
        <v>77</v>
      </c>
      <c r="B95" s="111"/>
      <c r="C95" s="63"/>
      <c r="D95" s="117"/>
      <c r="E95" s="16"/>
      <c r="F95" s="31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</row>
    <row r="96" spans="1:198" ht="15" x14ac:dyDescent="0.2">
      <c r="A96" s="125" t="s">
        <v>297</v>
      </c>
      <c r="B96" s="68" t="s">
        <v>74</v>
      </c>
      <c r="C96" s="63">
        <v>600000</v>
      </c>
      <c r="D96" s="62">
        <v>59334000</v>
      </c>
      <c r="E96" s="16"/>
      <c r="F96" s="31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</row>
    <row r="97" spans="1:198" ht="15" x14ac:dyDescent="0.2">
      <c r="A97" s="125" t="s">
        <v>151</v>
      </c>
      <c r="B97" s="68" t="s">
        <v>74</v>
      </c>
      <c r="C97" s="63">
        <v>400000</v>
      </c>
      <c r="D97" s="62">
        <v>39556000</v>
      </c>
      <c r="E97" s="16"/>
      <c r="F97" s="31"/>
      <c r="H97" s="16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</row>
    <row r="98" spans="1:198" ht="15" x14ac:dyDescent="0.2">
      <c r="A98" s="125" t="s">
        <v>123</v>
      </c>
      <c r="B98" s="68" t="s">
        <v>74</v>
      </c>
      <c r="C98" s="63">
        <v>3000000</v>
      </c>
      <c r="D98" s="62">
        <v>296670000</v>
      </c>
      <c r="E98" s="16">
        <f>7800000-300000-300000</f>
        <v>7200000</v>
      </c>
      <c r="F98" s="31"/>
      <c r="G98" s="46"/>
      <c r="H98" s="47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</row>
    <row r="99" spans="1:198" ht="15" x14ac:dyDescent="0.2">
      <c r="A99" s="125" t="s">
        <v>124</v>
      </c>
      <c r="B99" s="68" t="s">
        <v>74</v>
      </c>
      <c r="C99" s="63">
        <v>5323348.26</v>
      </c>
      <c r="D99" s="62">
        <v>526425909.4314</v>
      </c>
      <c r="E99" s="16" t="s">
        <v>73</v>
      </c>
      <c r="F99" s="31"/>
      <c r="G99" s="46"/>
      <c r="H99" s="47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</row>
    <row r="100" spans="1:198" ht="15" x14ac:dyDescent="0.2">
      <c r="A100" s="125" t="s">
        <v>101</v>
      </c>
      <c r="B100" s="68" t="s">
        <v>74</v>
      </c>
      <c r="C100" s="63">
        <v>6791761</v>
      </c>
      <c r="D100" s="62">
        <v>671637245.28999996</v>
      </c>
      <c r="E100" s="16">
        <f>15847000-565979.4-565979.4</f>
        <v>14715041.199999999</v>
      </c>
      <c r="F100" s="31"/>
      <c r="G100" s="46"/>
      <c r="H100" s="47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</row>
    <row r="101" spans="1:198" ht="15" x14ac:dyDescent="0.2">
      <c r="A101" s="125"/>
      <c r="B101" s="68" t="s">
        <v>73</v>
      </c>
      <c r="C101" s="63"/>
      <c r="D101" s="62" t="s">
        <v>73</v>
      </c>
      <c r="E101" s="16"/>
      <c r="F101" s="31"/>
      <c r="G101" s="46"/>
      <c r="H101" s="47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</row>
    <row r="102" spans="1:198" ht="15" x14ac:dyDescent="0.2">
      <c r="A102" s="107" t="s">
        <v>102</v>
      </c>
      <c r="B102" s="123"/>
      <c r="C102" s="63"/>
      <c r="D102" s="110">
        <v>1593623154.7214</v>
      </c>
      <c r="E102" s="16"/>
      <c r="F102" s="31"/>
      <c r="G102" s="46"/>
      <c r="H102" s="47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</row>
    <row r="103" spans="1:198" ht="15" x14ac:dyDescent="0.2">
      <c r="A103" s="77"/>
      <c r="B103" s="73"/>
      <c r="C103" s="81"/>
      <c r="D103" s="93"/>
      <c r="E103" s="16"/>
      <c r="F103" s="31"/>
      <c r="G103" s="46"/>
      <c r="H103" s="47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</row>
    <row r="104" spans="1:198" ht="15" x14ac:dyDescent="0.2">
      <c r="A104" s="85"/>
      <c r="B104" s="91"/>
      <c r="C104" s="92"/>
      <c r="D104" s="93"/>
      <c r="E104" s="16"/>
      <c r="F104" s="31"/>
      <c r="G104" s="46"/>
      <c r="H104" s="47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</row>
    <row r="105" spans="1:198" ht="15" x14ac:dyDescent="0.2">
      <c r="A105" s="107" t="s">
        <v>78</v>
      </c>
      <c r="B105" s="123"/>
      <c r="C105" s="63"/>
      <c r="D105" s="118"/>
      <c r="E105" s="16"/>
      <c r="F105" s="31"/>
      <c r="G105" s="46"/>
      <c r="H105" s="47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</row>
    <row r="106" spans="1:198" ht="15" x14ac:dyDescent="0.2">
      <c r="A106" s="107"/>
      <c r="B106" s="123"/>
      <c r="C106" s="112"/>
      <c r="D106" s="110"/>
      <c r="E106" s="16"/>
      <c r="F106" s="31"/>
      <c r="G106" s="46"/>
      <c r="H106" s="47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</row>
    <row r="107" spans="1:198" ht="15" x14ac:dyDescent="0.2">
      <c r="A107" s="107" t="s">
        <v>79</v>
      </c>
      <c r="B107" s="111"/>
      <c r="C107" s="63"/>
      <c r="D107" s="117"/>
      <c r="E107" s="16"/>
      <c r="F107" s="31"/>
      <c r="G107" s="46"/>
      <c r="H107" s="47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</row>
    <row r="108" spans="1:198" ht="15" x14ac:dyDescent="0.2">
      <c r="A108" s="107" t="s">
        <v>300</v>
      </c>
      <c r="B108" s="108" t="s">
        <v>57</v>
      </c>
      <c r="C108" s="63">
        <v>7436602.9000000004</v>
      </c>
      <c r="D108" s="62">
        <v>735405660.78100002</v>
      </c>
      <c r="E108" s="16"/>
      <c r="F108" s="31"/>
      <c r="G108" s="154"/>
      <c r="H108" s="47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</row>
    <row r="109" spans="1:198" ht="15" x14ac:dyDescent="0.2">
      <c r="A109" s="107" t="s">
        <v>293</v>
      </c>
      <c r="B109" s="68" t="s">
        <v>74</v>
      </c>
      <c r="C109" s="63">
        <v>6410155</v>
      </c>
      <c r="D109" s="62">
        <v>633900227.95000005</v>
      </c>
      <c r="E109" s="16"/>
      <c r="F109" s="31"/>
      <c r="G109" s="155"/>
      <c r="H109" s="47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</row>
    <row r="110" spans="1:198" ht="15" x14ac:dyDescent="0.2">
      <c r="A110" s="107" t="s">
        <v>8</v>
      </c>
      <c r="B110" s="108" t="s">
        <v>74</v>
      </c>
      <c r="C110" s="109">
        <v>1489722</v>
      </c>
      <c r="D110" s="62">
        <v>147318608.58000001</v>
      </c>
      <c r="E110" s="16"/>
      <c r="F110" s="31"/>
      <c r="G110" s="155"/>
      <c r="H110" s="47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</row>
    <row r="111" spans="1:198" ht="15" x14ac:dyDescent="0.2">
      <c r="A111" s="125" t="s">
        <v>292</v>
      </c>
      <c r="B111" s="108" t="s">
        <v>74</v>
      </c>
      <c r="C111" s="161">
        <v>3552961</v>
      </c>
      <c r="D111" s="62">
        <v>351352313.29000002</v>
      </c>
      <c r="E111" s="20"/>
      <c r="F111" s="31"/>
      <c r="G111" s="153"/>
      <c r="H111" s="47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</row>
    <row r="112" spans="1:198" ht="15" x14ac:dyDescent="0.2">
      <c r="A112" s="125" t="s">
        <v>127</v>
      </c>
      <c r="B112" s="108" t="s">
        <v>74</v>
      </c>
      <c r="C112" s="109">
        <v>8303665</v>
      </c>
      <c r="D112" s="62">
        <v>821149431.85000002</v>
      </c>
      <c r="E112" s="16">
        <f>14946597-830367</f>
        <v>14116230</v>
      </c>
      <c r="F112" s="31"/>
      <c r="G112" s="155"/>
      <c r="H112" s="47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</row>
    <row r="113" spans="1:198" ht="15" x14ac:dyDescent="0.2">
      <c r="A113" s="125" t="s">
        <v>126</v>
      </c>
      <c r="B113" s="108" t="s">
        <v>74</v>
      </c>
      <c r="C113" s="109">
        <v>7236685</v>
      </c>
      <c r="D113" s="62">
        <v>715635779.64999998</v>
      </c>
      <c r="E113" s="16">
        <f>20505428-6927710</f>
        <v>13577718</v>
      </c>
      <c r="F113" s="31"/>
      <c r="G113" s="155"/>
      <c r="H113" s="47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</row>
    <row r="114" spans="1:198" ht="15" x14ac:dyDescent="0.2">
      <c r="A114" s="125" t="s">
        <v>104</v>
      </c>
      <c r="B114" s="108" t="s">
        <v>74</v>
      </c>
      <c r="C114" s="109">
        <v>988848</v>
      </c>
      <c r="D114" s="62">
        <v>97787178.719999999</v>
      </c>
      <c r="E114" s="20"/>
      <c r="F114" s="31"/>
      <c r="G114" s="155"/>
      <c r="H114" s="47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</row>
    <row r="115" spans="1:198" ht="15" x14ac:dyDescent="0.2">
      <c r="A115" s="107" t="s">
        <v>174</v>
      </c>
      <c r="B115" s="108" t="s">
        <v>74</v>
      </c>
      <c r="C115" s="109">
        <v>5143021.0999999996</v>
      </c>
      <c r="D115" s="62">
        <v>508593356.57899994</v>
      </c>
      <c r="E115" s="16"/>
      <c r="F115" s="31"/>
      <c r="G115" s="155"/>
      <c r="H115" s="47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</row>
    <row r="116" spans="1:198" s="46" customFormat="1" ht="15" x14ac:dyDescent="0.2">
      <c r="A116" s="125" t="s">
        <v>175</v>
      </c>
      <c r="B116" s="108" t="s">
        <v>74</v>
      </c>
      <c r="C116" s="109">
        <v>5368388</v>
      </c>
      <c r="D116" s="62">
        <v>530879889.31999999</v>
      </c>
      <c r="E116" s="44"/>
      <c r="F116" s="45"/>
      <c r="G116" s="155"/>
      <c r="H116" s="47"/>
    </row>
    <row r="117" spans="1:198" ht="15" x14ac:dyDescent="0.2">
      <c r="A117" s="107" t="s">
        <v>295</v>
      </c>
      <c r="B117" s="108" t="s">
        <v>74</v>
      </c>
      <c r="C117" s="109">
        <v>5951903</v>
      </c>
      <c r="D117" s="62">
        <v>588583687.66999996</v>
      </c>
      <c r="E117" s="16"/>
      <c r="F117" s="31"/>
      <c r="G117" s="155"/>
      <c r="H117" s="47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</row>
    <row r="118" spans="1:198" ht="15" x14ac:dyDescent="0.2">
      <c r="A118" s="107" t="s">
        <v>294</v>
      </c>
      <c r="B118" s="108" t="s">
        <v>74</v>
      </c>
      <c r="C118" s="109">
        <v>1874917</v>
      </c>
      <c r="D118" s="62">
        <v>185410542.13</v>
      </c>
      <c r="E118" s="16"/>
      <c r="F118" s="31"/>
      <c r="G118" s="155"/>
      <c r="H118" s="47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</row>
    <row r="119" spans="1:198" ht="15" x14ac:dyDescent="0.2">
      <c r="A119" s="125" t="s">
        <v>52</v>
      </c>
      <c r="B119" s="108" t="s">
        <v>74</v>
      </c>
      <c r="C119" s="109">
        <v>3914061</v>
      </c>
      <c r="D119" s="62">
        <v>387061492.29000002</v>
      </c>
      <c r="E119" s="16"/>
      <c r="F119" s="31"/>
      <c r="G119" s="155"/>
      <c r="H119" s="47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</row>
    <row r="120" spans="1:198" ht="15" x14ac:dyDescent="0.2">
      <c r="A120" s="125" t="s">
        <v>267</v>
      </c>
      <c r="B120" s="108" t="s">
        <v>74</v>
      </c>
      <c r="C120" s="109">
        <v>1597380.8</v>
      </c>
      <c r="D120" s="62">
        <v>157964987.31200001</v>
      </c>
      <c r="E120" s="16"/>
      <c r="F120" s="31"/>
      <c r="G120" s="155"/>
      <c r="H120" s="47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</row>
    <row r="121" spans="1:198" ht="15" x14ac:dyDescent="0.2">
      <c r="A121" s="125" t="s">
        <v>125</v>
      </c>
      <c r="B121" s="108" t="s">
        <v>74</v>
      </c>
      <c r="C121" s="109">
        <v>3021948</v>
      </c>
      <c r="D121" s="62">
        <v>298840437.72000003</v>
      </c>
      <c r="E121" s="16"/>
      <c r="F121" s="31"/>
      <c r="G121" s="155"/>
      <c r="H121" s="47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</row>
    <row r="122" spans="1:198" ht="15" x14ac:dyDescent="0.2">
      <c r="A122" s="125" t="s">
        <v>299</v>
      </c>
      <c r="B122" s="108" t="s">
        <v>74</v>
      </c>
      <c r="C122" s="109">
        <v>7589959.46</v>
      </c>
      <c r="D122" s="62">
        <v>750571090.99940002</v>
      </c>
      <c r="E122" s="16"/>
      <c r="F122" s="31"/>
      <c r="G122" s="155"/>
      <c r="H122" s="47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</row>
    <row r="123" spans="1:198" ht="15" x14ac:dyDescent="0.2">
      <c r="A123" s="125"/>
      <c r="B123" s="108" t="s">
        <v>73</v>
      </c>
      <c r="C123" s="64"/>
      <c r="D123" s="116"/>
      <c r="E123" s="20"/>
      <c r="F123" s="31"/>
      <c r="G123" s="156"/>
      <c r="H123" s="47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</row>
    <row r="124" spans="1:198" ht="15" x14ac:dyDescent="0.2">
      <c r="A124" s="107" t="s">
        <v>80</v>
      </c>
      <c r="B124" s="108"/>
      <c r="C124" s="110"/>
      <c r="D124" s="110">
        <v>6910454684.8414001</v>
      </c>
      <c r="E124" s="16"/>
      <c r="F124" s="31"/>
      <c r="G124" s="157"/>
      <c r="H124" s="47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</row>
    <row r="125" spans="1:198" ht="15" x14ac:dyDescent="0.2">
      <c r="A125" s="77"/>
      <c r="B125" s="73"/>
      <c r="C125" s="94"/>
      <c r="D125" s="81"/>
      <c r="E125" s="16"/>
      <c r="F125" s="31"/>
      <c r="G125" s="156"/>
      <c r="H125" s="47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</row>
    <row r="126" spans="1:198" ht="15" x14ac:dyDescent="0.2">
      <c r="A126" s="77"/>
      <c r="B126" s="73"/>
      <c r="C126" s="84"/>
      <c r="D126" s="81"/>
      <c r="E126" s="16"/>
      <c r="F126" s="31"/>
      <c r="G126" s="156"/>
      <c r="H126" s="47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</row>
    <row r="127" spans="1:198" s="46" customFormat="1" ht="15" x14ac:dyDescent="0.2">
      <c r="A127" s="107" t="s">
        <v>141</v>
      </c>
      <c r="B127" s="111"/>
      <c r="C127" s="63"/>
      <c r="D127" s="117"/>
      <c r="E127" s="44"/>
      <c r="F127" s="45"/>
      <c r="G127" s="156"/>
      <c r="H127" s="47"/>
    </row>
    <row r="128" spans="1:198" ht="15" x14ac:dyDescent="0.2">
      <c r="A128" s="107" t="s">
        <v>211</v>
      </c>
      <c r="B128" s="111"/>
      <c r="C128" s="128"/>
      <c r="D128" s="129"/>
      <c r="E128" s="16"/>
      <c r="F128" s="31"/>
      <c r="G128" s="156"/>
      <c r="H128" s="47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</row>
    <row r="129" spans="1:198" ht="15" x14ac:dyDescent="0.2">
      <c r="A129" s="107" t="s">
        <v>166</v>
      </c>
      <c r="B129" s="108" t="s">
        <v>53</v>
      </c>
      <c r="C129" s="130">
        <v>71428570.400000006</v>
      </c>
      <c r="D129" s="131">
        <v>1136428555.0640001</v>
      </c>
      <c r="E129" s="16"/>
      <c r="F129" s="31"/>
      <c r="G129" s="180"/>
      <c r="H129" s="47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</row>
    <row r="130" spans="1:198" ht="15" x14ac:dyDescent="0.2">
      <c r="A130" s="107" t="s">
        <v>155</v>
      </c>
      <c r="B130" s="108" t="s">
        <v>53</v>
      </c>
      <c r="C130" s="130">
        <v>200037241</v>
      </c>
      <c r="D130" s="131">
        <v>3182592504.3099999</v>
      </c>
      <c r="E130" s="16">
        <v>55625000</v>
      </c>
      <c r="F130" s="31"/>
      <c r="G130" s="180"/>
      <c r="H130" s="47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</row>
    <row r="131" spans="1:198" ht="15" x14ac:dyDescent="0.2">
      <c r="A131" s="107" t="s">
        <v>171</v>
      </c>
      <c r="B131" s="108" t="s">
        <v>53</v>
      </c>
      <c r="C131" s="130">
        <v>338709677</v>
      </c>
      <c r="D131" s="131">
        <v>5388870961.0699997</v>
      </c>
      <c r="E131" s="16" t="s">
        <v>73</v>
      </c>
      <c r="F131" s="31"/>
      <c r="G131" s="156"/>
      <c r="H131" s="47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</row>
    <row r="132" spans="1:198" ht="15" x14ac:dyDescent="0.2">
      <c r="A132" s="107" t="s">
        <v>296</v>
      </c>
      <c r="B132" s="108" t="s">
        <v>349</v>
      </c>
      <c r="C132" s="130">
        <v>46301333</v>
      </c>
      <c r="D132" s="62">
        <v>4578738820.3699999</v>
      </c>
      <c r="E132" s="16"/>
      <c r="F132" s="31"/>
      <c r="G132" s="156"/>
      <c r="H132" s="47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</row>
    <row r="133" spans="1:198" ht="15" x14ac:dyDescent="0.2">
      <c r="A133" s="107" t="s">
        <v>311</v>
      </c>
      <c r="B133" s="108" t="s">
        <v>53</v>
      </c>
      <c r="C133" s="130">
        <v>160501166</v>
      </c>
      <c r="D133" s="131">
        <v>2553573551.0599999</v>
      </c>
      <c r="E133" s="16"/>
      <c r="F133" s="31"/>
      <c r="G133" s="156"/>
      <c r="H133" s="47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</row>
    <row r="134" spans="1:198" ht="15" x14ac:dyDescent="0.2">
      <c r="A134" s="107" t="s">
        <v>332</v>
      </c>
      <c r="B134" s="108" t="s">
        <v>53</v>
      </c>
      <c r="C134" s="130">
        <v>20000000</v>
      </c>
      <c r="D134" s="131">
        <v>318200000</v>
      </c>
      <c r="E134" s="16"/>
      <c r="F134" s="31"/>
      <c r="G134" s="166"/>
      <c r="H134" s="47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</row>
    <row r="135" spans="1:198" ht="15" x14ac:dyDescent="0.2">
      <c r="A135" s="107"/>
      <c r="B135" s="108"/>
      <c r="C135" s="130"/>
      <c r="D135" s="131"/>
      <c r="E135" s="16"/>
      <c r="F135" s="31"/>
      <c r="G135" s="46"/>
      <c r="H135" s="47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</row>
    <row r="136" spans="1:198" ht="15" x14ac:dyDescent="0.2">
      <c r="A136" s="107" t="s">
        <v>178</v>
      </c>
      <c r="B136" s="108"/>
      <c r="C136" s="129"/>
      <c r="D136" s="129">
        <v>17158404391.873999</v>
      </c>
      <c r="E136" s="16"/>
      <c r="F136" s="31"/>
      <c r="G136" s="167"/>
      <c r="H136" s="47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</row>
    <row r="137" spans="1:198" ht="15" x14ac:dyDescent="0.2">
      <c r="A137" s="97" t="s">
        <v>73</v>
      </c>
      <c r="B137" s="78" t="s">
        <v>73</v>
      </c>
      <c r="C137" s="97"/>
      <c r="D137" s="96"/>
      <c r="E137" s="16"/>
      <c r="F137" s="31"/>
      <c r="G137" s="46"/>
      <c r="H137" s="47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</row>
    <row r="138" spans="1:198" s="46" customFormat="1" ht="15" x14ac:dyDescent="0.2">
      <c r="A138" s="107" t="s">
        <v>142</v>
      </c>
      <c r="B138" s="111"/>
      <c r="C138" s="63"/>
      <c r="D138" s="117"/>
      <c r="E138" s="44"/>
      <c r="F138" s="45"/>
      <c r="G138" s="47"/>
      <c r="H138" s="47"/>
    </row>
    <row r="139" spans="1:198" ht="15" x14ac:dyDescent="0.2">
      <c r="A139" s="107"/>
      <c r="B139" s="108"/>
      <c r="C139" s="109"/>
      <c r="D139" s="62"/>
      <c r="E139" s="16"/>
      <c r="F139" s="31"/>
      <c r="G139" s="46"/>
      <c r="H139" s="47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</row>
    <row r="140" spans="1:198" ht="15" x14ac:dyDescent="0.2">
      <c r="A140" s="107" t="s">
        <v>81</v>
      </c>
      <c r="B140" s="108"/>
      <c r="C140" s="109"/>
      <c r="D140" s="62"/>
      <c r="E140" s="16"/>
      <c r="F140" s="31"/>
      <c r="G140" s="46"/>
      <c r="H140" s="47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</row>
    <row r="141" spans="1:198" ht="15" x14ac:dyDescent="0.2">
      <c r="A141" s="107" t="s">
        <v>268</v>
      </c>
      <c r="B141" s="108" t="s">
        <v>106</v>
      </c>
      <c r="C141" s="109">
        <v>0</v>
      </c>
      <c r="D141" s="62">
        <v>0</v>
      </c>
      <c r="E141" s="16">
        <f>1315500-116950</f>
        <v>1198550</v>
      </c>
      <c r="F141" s="31"/>
      <c r="G141" s="46"/>
      <c r="H141" s="47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</row>
    <row r="142" spans="1:198" ht="15" x14ac:dyDescent="0.2">
      <c r="A142" s="107" t="s">
        <v>107</v>
      </c>
      <c r="B142" s="108" t="s">
        <v>106</v>
      </c>
      <c r="C142" s="109">
        <v>3793480.11</v>
      </c>
      <c r="D142" s="62">
        <v>569594831.99661005</v>
      </c>
      <c r="E142" s="16"/>
      <c r="F142" s="31"/>
      <c r="G142" s="166"/>
      <c r="H142" s="47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</row>
    <row r="143" spans="1:198" ht="15" x14ac:dyDescent="0.2">
      <c r="A143" s="125" t="s">
        <v>108</v>
      </c>
      <c r="B143" s="108" t="s">
        <v>73</v>
      </c>
      <c r="C143" s="109"/>
      <c r="D143" s="62" t="s">
        <v>73</v>
      </c>
      <c r="E143" s="16"/>
      <c r="F143" s="31"/>
      <c r="G143" s="168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</row>
    <row r="144" spans="1:198" ht="15" x14ac:dyDescent="0.2">
      <c r="A144" s="107" t="s">
        <v>82</v>
      </c>
      <c r="B144" s="123"/>
      <c r="C144" s="63"/>
      <c r="D144" s="118">
        <v>569594831.99661005</v>
      </c>
      <c r="E144" s="16"/>
      <c r="F144" s="31"/>
      <c r="G144" s="168"/>
      <c r="H144" s="165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</row>
    <row r="145" spans="1:198" ht="15" x14ac:dyDescent="0.2">
      <c r="A145" s="77"/>
      <c r="B145" s="78"/>
      <c r="C145" s="84"/>
      <c r="D145" s="81" t="s">
        <v>73</v>
      </c>
      <c r="E145" s="16"/>
      <c r="F145" s="31"/>
      <c r="G145" s="149"/>
      <c r="H145" s="47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</row>
    <row r="146" spans="1:198" s="46" customFormat="1" ht="15" x14ac:dyDescent="0.2">
      <c r="A146" s="107" t="s">
        <v>212</v>
      </c>
      <c r="B146" s="108"/>
      <c r="C146" s="63"/>
      <c r="D146" s="62"/>
      <c r="E146" s="44"/>
      <c r="F146" s="45"/>
      <c r="G146" s="47"/>
      <c r="H146" s="47"/>
    </row>
    <row r="147" spans="1:198" ht="15" x14ac:dyDescent="0.2">
      <c r="A147" s="107" t="s">
        <v>83</v>
      </c>
      <c r="B147" s="123"/>
      <c r="C147" s="63"/>
      <c r="D147" s="117"/>
      <c r="E147" s="16"/>
      <c r="F147" s="31"/>
      <c r="G147" s="47"/>
      <c r="H147" s="47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</row>
    <row r="148" spans="1:198" ht="15" x14ac:dyDescent="0.2">
      <c r="A148" s="107" t="s">
        <v>109</v>
      </c>
      <c r="B148" s="108" t="s">
        <v>97</v>
      </c>
      <c r="C148" s="109">
        <v>0</v>
      </c>
      <c r="D148" s="62">
        <v>0</v>
      </c>
      <c r="E148" s="16">
        <f>1143248.67-87942.2-87942.2</f>
        <v>967364.27</v>
      </c>
      <c r="F148" s="31"/>
      <c r="G148" s="46"/>
      <c r="H148" s="47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</row>
    <row r="149" spans="1:198" ht="15" x14ac:dyDescent="0.2">
      <c r="A149" s="107" t="s">
        <v>110</v>
      </c>
      <c r="B149" s="108" t="s">
        <v>97</v>
      </c>
      <c r="C149" s="109">
        <v>5533081</v>
      </c>
      <c r="D149" s="62">
        <v>702590625.38</v>
      </c>
      <c r="E149" s="16">
        <f>8214619.87+919711.83-102053.86-167601.48-102053.86-167601.48</f>
        <v>8595021.0199999996</v>
      </c>
      <c r="F149" s="31"/>
      <c r="G149" s="46"/>
      <c r="H149" s="47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</row>
    <row r="150" spans="1:198" ht="15" x14ac:dyDescent="0.2">
      <c r="A150" s="107" t="s">
        <v>111</v>
      </c>
      <c r="B150" s="108" t="s">
        <v>97</v>
      </c>
      <c r="C150" s="109">
        <v>7562174</v>
      </c>
      <c r="D150" s="62">
        <v>960244854.51999998</v>
      </c>
      <c r="E150" s="16">
        <f>838222.12+7543999.23+3741173.82+1154599.31-115449.71-167601.48-124704.09-167601.48-124704.09-115449.71</f>
        <v>12462483.919999998</v>
      </c>
      <c r="F150" s="31"/>
      <c r="G150" s="46"/>
      <c r="H150" s="47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</row>
    <row r="151" spans="1:198" ht="15" x14ac:dyDescent="0.2">
      <c r="A151" s="107" t="s">
        <v>112</v>
      </c>
      <c r="B151" s="108" t="s">
        <v>97</v>
      </c>
      <c r="C151" s="109">
        <v>0</v>
      </c>
      <c r="D151" s="62">
        <v>0</v>
      </c>
      <c r="E151" s="16"/>
      <c r="F151" s="33" t="s">
        <v>152</v>
      </c>
      <c r="G151" s="46"/>
      <c r="H151" s="47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</row>
    <row r="152" spans="1:198" ht="15" x14ac:dyDescent="0.2">
      <c r="A152" s="107" t="s">
        <v>114</v>
      </c>
      <c r="B152" s="108" t="s">
        <v>97</v>
      </c>
      <c r="C152" s="109">
        <v>4531068</v>
      </c>
      <c r="D152" s="62">
        <v>575355014.63999999</v>
      </c>
      <c r="E152" s="16">
        <f>5082752.59-230592.64</f>
        <v>4852159.95</v>
      </c>
      <c r="F152" s="34" t="s">
        <v>73</v>
      </c>
      <c r="G152" s="46"/>
      <c r="H152" s="47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</row>
    <row r="153" spans="1:198" ht="15" x14ac:dyDescent="0.2">
      <c r="A153" s="107" t="s">
        <v>84</v>
      </c>
      <c r="B153" s="108" t="s">
        <v>97</v>
      </c>
      <c r="C153" s="109">
        <v>914570</v>
      </c>
      <c r="D153" s="62">
        <v>116132098.60000001</v>
      </c>
      <c r="E153" s="16">
        <f>3345749.03-151853.69-151853.69</f>
        <v>3042041.65</v>
      </c>
      <c r="F153" s="31"/>
      <c r="G153" s="46"/>
      <c r="H153" s="47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</row>
    <row r="154" spans="1:198" x14ac:dyDescent="0.2">
      <c r="A154" s="107" t="s">
        <v>113</v>
      </c>
      <c r="B154" s="108" t="s">
        <v>97</v>
      </c>
      <c r="C154" s="109">
        <v>1325288.2</v>
      </c>
      <c r="D154" s="62">
        <v>168285095.63600001</v>
      </c>
      <c r="E154" s="22">
        <v>11902286</v>
      </c>
      <c r="F154" s="33" t="s">
        <v>73</v>
      </c>
      <c r="G154" s="46"/>
      <c r="H154" s="47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</row>
    <row r="155" spans="1:198" x14ac:dyDescent="0.2">
      <c r="A155" s="107"/>
      <c r="B155" s="108"/>
      <c r="C155" s="109"/>
      <c r="D155" s="62"/>
      <c r="E155" s="22"/>
      <c r="F155" s="33"/>
      <c r="G155" s="46"/>
      <c r="H155" s="47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</row>
    <row r="156" spans="1:198" ht="15" x14ac:dyDescent="0.2">
      <c r="A156" s="107" t="s">
        <v>85</v>
      </c>
      <c r="B156" s="108"/>
      <c r="C156" s="109"/>
      <c r="D156" s="110">
        <v>2522607688.776</v>
      </c>
      <c r="E156" s="16"/>
      <c r="F156" s="31"/>
      <c r="G156" s="167"/>
      <c r="H156" s="47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</row>
    <row r="157" spans="1:198" ht="15" x14ac:dyDescent="0.2">
      <c r="A157" s="77"/>
      <c r="B157" s="78"/>
      <c r="C157" s="80"/>
      <c r="D157" s="79"/>
      <c r="E157" s="16"/>
      <c r="F157" s="31"/>
      <c r="G157" s="46"/>
      <c r="H157" s="47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</row>
    <row r="158" spans="1:198" s="46" customFormat="1" ht="15" x14ac:dyDescent="0.2">
      <c r="A158" s="107" t="s">
        <v>143</v>
      </c>
      <c r="B158" s="108"/>
      <c r="C158" s="113"/>
      <c r="D158" s="110"/>
      <c r="E158" s="44"/>
      <c r="F158" s="45"/>
      <c r="H158" s="47"/>
    </row>
    <row r="159" spans="1:198" ht="15" x14ac:dyDescent="0.2">
      <c r="A159" s="107" t="s">
        <v>86</v>
      </c>
      <c r="B159" s="123"/>
      <c r="C159" s="63" t="s">
        <v>73</v>
      </c>
      <c r="D159" s="117"/>
      <c r="E159" s="16"/>
      <c r="F159" s="31"/>
      <c r="G159" s="46"/>
      <c r="H159" s="47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</row>
    <row r="160" spans="1:198" ht="15" x14ac:dyDescent="0.2">
      <c r="A160" s="107" t="s">
        <v>10</v>
      </c>
      <c r="B160" s="114" t="s">
        <v>27</v>
      </c>
      <c r="C160" s="109">
        <v>135134000</v>
      </c>
      <c r="D160" s="62">
        <v>142160968</v>
      </c>
      <c r="E160" s="16">
        <f>97756000*20</f>
        <v>1955120000</v>
      </c>
      <c r="F160" s="31">
        <v>2041121011</v>
      </c>
      <c r="G160" s="46"/>
      <c r="H160" s="47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</row>
    <row r="161" spans="1:198" ht="15" x14ac:dyDescent="0.2">
      <c r="A161" s="107" t="s">
        <v>11</v>
      </c>
      <c r="B161" s="114" t="s">
        <v>27</v>
      </c>
      <c r="C161" s="109">
        <v>488780000</v>
      </c>
      <c r="D161" s="62">
        <v>514196560</v>
      </c>
      <c r="E161" s="16">
        <v>5111722</v>
      </c>
      <c r="F161" s="31">
        <v>2041121015</v>
      </c>
      <c r="G161" s="46"/>
      <c r="H161" s="47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</row>
    <row r="162" spans="1:198" x14ac:dyDescent="0.2">
      <c r="A162" s="107" t="s">
        <v>115</v>
      </c>
      <c r="B162" s="114" t="s">
        <v>27</v>
      </c>
      <c r="C162" s="163">
        <v>1258608000</v>
      </c>
      <c r="D162" s="62">
        <v>1324055616</v>
      </c>
      <c r="G162" s="46"/>
      <c r="H162" s="47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</row>
    <row r="163" spans="1:198" ht="15" x14ac:dyDescent="0.2">
      <c r="A163" s="107" t="s">
        <v>9</v>
      </c>
      <c r="B163" s="114" t="s">
        <v>27</v>
      </c>
      <c r="C163" s="63">
        <v>2386644000</v>
      </c>
      <c r="D163" s="62">
        <v>2510749488</v>
      </c>
      <c r="E163" s="16">
        <f>193033000*26</f>
        <v>5018858000</v>
      </c>
      <c r="F163" s="31"/>
      <c r="G163" s="47"/>
      <c r="H163" s="47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</row>
    <row r="164" spans="1:198" x14ac:dyDescent="0.2">
      <c r="A164" s="107" t="s">
        <v>12</v>
      </c>
      <c r="B164" s="114" t="s">
        <v>27</v>
      </c>
      <c r="C164" s="163">
        <v>1858808000</v>
      </c>
      <c r="D164" s="62">
        <v>1955466016</v>
      </c>
      <c r="G164" s="46"/>
      <c r="H164" s="47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</row>
    <row r="165" spans="1:198" s="46" customFormat="1" ht="15" x14ac:dyDescent="0.2">
      <c r="A165" s="107" t="s">
        <v>116</v>
      </c>
      <c r="B165" s="114" t="s">
        <v>27</v>
      </c>
      <c r="C165" s="109">
        <v>4310248000</v>
      </c>
      <c r="D165" s="62">
        <v>4534380896</v>
      </c>
      <c r="E165" s="44">
        <f>905093277-44000000</f>
        <v>861093277</v>
      </c>
      <c r="F165" s="45">
        <v>2041121018</v>
      </c>
      <c r="H165" s="47"/>
    </row>
    <row r="166" spans="1:198" ht="15" x14ac:dyDescent="0.2">
      <c r="A166" s="107" t="s">
        <v>13</v>
      </c>
      <c r="B166" s="114" t="s">
        <v>27</v>
      </c>
      <c r="C166" s="109">
        <v>0</v>
      </c>
      <c r="D166" s="62">
        <v>0</v>
      </c>
      <c r="E166" s="16">
        <v>135600000</v>
      </c>
      <c r="F166" s="31">
        <v>2041121016</v>
      </c>
      <c r="G166" s="46"/>
      <c r="H166" s="47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</row>
    <row r="167" spans="1:198" ht="15" x14ac:dyDescent="0.2">
      <c r="A167" s="107" t="s">
        <v>14</v>
      </c>
      <c r="B167" s="114" t="s">
        <v>27</v>
      </c>
      <c r="C167" s="109">
        <v>71620000</v>
      </c>
      <c r="D167" s="62">
        <v>75344240</v>
      </c>
      <c r="E167" s="16">
        <f>16*35810000</f>
        <v>572960000</v>
      </c>
      <c r="F167" s="31">
        <v>2041121017</v>
      </c>
      <c r="G167" s="46"/>
      <c r="H167" s="47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</row>
    <row r="168" spans="1:198" ht="15" x14ac:dyDescent="0.2">
      <c r="A168" s="107"/>
      <c r="B168" s="114"/>
      <c r="C168" s="109"/>
      <c r="D168" s="62"/>
      <c r="E168" s="16"/>
      <c r="F168" s="31"/>
      <c r="G168" s="46"/>
      <c r="H168" s="47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</row>
    <row r="169" spans="1:198" ht="15" x14ac:dyDescent="0.2">
      <c r="A169" s="107" t="s">
        <v>87</v>
      </c>
      <c r="B169" s="108"/>
      <c r="C169" s="109"/>
      <c r="D169" s="110">
        <v>11056353784</v>
      </c>
      <c r="E169" s="16"/>
      <c r="F169" s="31"/>
      <c r="G169" s="165"/>
      <c r="H169" s="47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</row>
    <row r="170" spans="1:198" ht="15" x14ac:dyDescent="0.2">
      <c r="A170" s="90"/>
      <c r="B170" s="78"/>
      <c r="C170" s="74"/>
      <c r="D170" s="79"/>
      <c r="E170" s="16"/>
      <c r="F170" s="31"/>
      <c r="G170" s="46"/>
      <c r="H170" s="47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</row>
    <row r="171" spans="1:198" ht="15" x14ac:dyDescent="0.2">
      <c r="A171" s="107" t="s">
        <v>269</v>
      </c>
      <c r="B171" s="68" t="s">
        <v>27</v>
      </c>
      <c r="C171" s="63">
        <v>353557000</v>
      </c>
      <c r="D171" s="110">
        <v>371941964</v>
      </c>
      <c r="E171" s="16">
        <f>1296964615-58963000-58963000</f>
        <v>1179038615</v>
      </c>
      <c r="F171" s="31"/>
      <c r="G171" s="166"/>
      <c r="H171" s="47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</row>
    <row r="172" spans="1:198" ht="15" x14ac:dyDescent="0.2">
      <c r="A172" s="77"/>
      <c r="B172" s="86"/>
      <c r="C172" s="74"/>
      <c r="D172" s="79"/>
      <c r="E172" s="16"/>
      <c r="F172" s="31"/>
      <c r="G172" s="46"/>
      <c r="H172" s="47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</row>
    <row r="173" spans="1:198" s="46" customFormat="1" ht="15" x14ac:dyDescent="0.2">
      <c r="A173" s="107" t="s">
        <v>144</v>
      </c>
      <c r="B173" s="68"/>
      <c r="C173" s="63"/>
      <c r="D173" s="62"/>
      <c r="E173" s="44"/>
      <c r="F173" s="45"/>
      <c r="H173" s="47"/>
    </row>
    <row r="174" spans="1:198" ht="15" x14ac:dyDescent="0.2">
      <c r="A174" s="107" t="s">
        <v>15</v>
      </c>
      <c r="B174" s="108" t="s">
        <v>97</v>
      </c>
      <c r="C174" s="63">
        <v>673046.77</v>
      </c>
      <c r="D174" s="62">
        <v>85463478.854600012</v>
      </c>
      <c r="E174" s="16">
        <v>967504.78</v>
      </c>
      <c r="F174" s="31">
        <v>2041047006</v>
      </c>
      <c r="G174" s="46"/>
      <c r="H174" s="47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</row>
    <row r="175" spans="1:198" ht="15" x14ac:dyDescent="0.2">
      <c r="A175" s="107" t="s">
        <v>16</v>
      </c>
      <c r="B175" s="108" t="s">
        <v>97</v>
      </c>
      <c r="C175" s="109">
        <v>219720.35</v>
      </c>
      <c r="D175" s="62">
        <v>27900090.043000001</v>
      </c>
      <c r="E175" s="16">
        <v>317373.87</v>
      </c>
      <c r="F175" s="31">
        <v>2041047012</v>
      </c>
      <c r="G175" s="46"/>
      <c r="H175" s="47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</row>
    <row r="176" spans="1:198" ht="15" x14ac:dyDescent="0.2">
      <c r="A176" s="107" t="s">
        <v>17</v>
      </c>
      <c r="B176" s="108" t="s">
        <v>97</v>
      </c>
      <c r="C176" s="109">
        <v>368469.58</v>
      </c>
      <c r="D176" s="62">
        <v>46788267.268400006</v>
      </c>
      <c r="E176" s="16">
        <v>1013291.24</v>
      </c>
      <c r="F176" s="31">
        <v>2041047016</v>
      </c>
      <c r="G176" s="46"/>
      <c r="H176" s="47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</row>
    <row r="177" spans="1:198" ht="15" x14ac:dyDescent="0.2">
      <c r="A177" s="107" t="s">
        <v>18</v>
      </c>
      <c r="B177" s="108" t="s">
        <v>97</v>
      </c>
      <c r="C177" s="63">
        <v>2147517.92</v>
      </c>
      <c r="D177" s="62">
        <v>272691825.48159999</v>
      </c>
      <c r="E177" s="16">
        <v>5154035.71</v>
      </c>
      <c r="F177" s="31"/>
      <c r="G177" s="46"/>
      <c r="H177" s="47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</row>
    <row r="178" spans="1:198" ht="15" x14ac:dyDescent="0.2">
      <c r="A178" s="107" t="s">
        <v>19</v>
      </c>
      <c r="B178" s="108" t="s">
        <v>97</v>
      </c>
      <c r="C178" s="109">
        <v>3081167.66</v>
      </c>
      <c r="D178" s="62">
        <v>391246669.46680003</v>
      </c>
      <c r="E178" s="16">
        <v>6162335.3300000001</v>
      </c>
      <c r="F178" s="31">
        <v>2041047017</v>
      </c>
      <c r="G178" s="46"/>
      <c r="H178" s="47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</row>
    <row r="179" spans="1:198" ht="15" x14ac:dyDescent="0.2">
      <c r="A179" s="125"/>
      <c r="B179" s="108" t="s">
        <v>73</v>
      </c>
      <c r="C179" s="63">
        <v>6489922.2800000003</v>
      </c>
      <c r="D179" s="62" t="s">
        <v>73</v>
      </c>
      <c r="E179" s="16"/>
      <c r="F179" s="31"/>
      <c r="G179" s="46"/>
      <c r="H179" s="47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</row>
    <row r="180" spans="1:198" ht="15" x14ac:dyDescent="0.2">
      <c r="A180" s="107" t="s">
        <v>88</v>
      </c>
      <c r="B180" s="108" t="s">
        <v>73</v>
      </c>
      <c r="C180" s="63"/>
      <c r="D180" s="118">
        <v>824090331.11440003</v>
      </c>
      <c r="E180" s="16"/>
      <c r="F180" s="31"/>
      <c r="G180" s="165"/>
      <c r="H180" s="47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</row>
    <row r="181" spans="1:198" ht="15" x14ac:dyDescent="0.2">
      <c r="A181" s="77"/>
      <c r="B181" s="78"/>
      <c r="C181" s="84"/>
      <c r="D181" s="81" t="s">
        <v>73</v>
      </c>
      <c r="E181" s="16"/>
      <c r="F181" s="31"/>
      <c r="G181" s="46"/>
      <c r="H181" s="47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</row>
    <row r="182" spans="1:198" s="46" customFormat="1" ht="15" x14ac:dyDescent="0.2">
      <c r="A182" s="107" t="s">
        <v>213</v>
      </c>
      <c r="B182" s="108"/>
      <c r="C182" s="63"/>
      <c r="D182" s="62"/>
      <c r="E182" s="44"/>
      <c r="F182" s="45"/>
      <c r="H182" s="47"/>
    </row>
    <row r="183" spans="1:198" ht="15" x14ac:dyDescent="0.2">
      <c r="A183" s="107" t="s">
        <v>214</v>
      </c>
      <c r="B183" s="68"/>
      <c r="C183" s="63"/>
      <c r="D183" s="117"/>
      <c r="E183" s="16"/>
      <c r="F183" s="31"/>
      <c r="G183" s="46"/>
      <c r="H183" s="47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</row>
    <row r="184" spans="1:198" ht="15" x14ac:dyDescent="0.2">
      <c r="A184" s="107" t="s">
        <v>215</v>
      </c>
      <c r="B184" s="108" t="s">
        <v>97</v>
      </c>
      <c r="C184" s="109">
        <v>0</v>
      </c>
      <c r="D184" s="62">
        <v>0</v>
      </c>
      <c r="E184" s="16"/>
      <c r="F184" s="31"/>
      <c r="G184" s="46"/>
      <c r="H184" s="47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</row>
    <row r="185" spans="1:198" ht="15" x14ac:dyDescent="0.2">
      <c r="A185" s="107" t="s">
        <v>216</v>
      </c>
      <c r="B185" s="108" t="s">
        <v>97</v>
      </c>
      <c r="C185" s="109">
        <v>72819.22</v>
      </c>
      <c r="D185" s="62">
        <v>9246584.5556000005</v>
      </c>
      <c r="E185" s="16"/>
      <c r="F185" s="31"/>
      <c r="G185" s="46"/>
      <c r="H185" s="47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</row>
    <row r="186" spans="1:198" ht="15" x14ac:dyDescent="0.2">
      <c r="A186" s="107"/>
      <c r="B186" s="26"/>
      <c r="C186" s="64"/>
      <c r="D186" s="62"/>
      <c r="E186" s="16">
        <v>618963.52</v>
      </c>
      <c r="F186" s="31"/>
      <c r="G186" s="46"/>
      <c r="H186" s="47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</row>
    <row r="187" spans="1:198" ht="15" x14ac:dyDescent="0.2">
      <c r="A187" s="107" t="s">
        <v>217</v>
      </c>
      <c r="B187" s="108"/>
      <c r="C187" s="109"/>
      <c r="D187" s="110">
        <v>9246584.5556000005</v>
      </c>
      <c r="E187" s="16">
        <f>1428337.81+106307.01</f>
        <v>1534644.82</v>
      </c>
      <c r="F187" s="31"/>
      <c r="G187" s="46"/>
      <c r="H187" s="47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</row>
    <row r="188" spans="1:198" ht="15" x14ac:dyDescent="0.2">
      <c r="A188" s="77"/>
      <c r="B188" s="78"/>
      <c r="C188" s="82"/>
      <c r="D188" s="93"/>
      <c r="E188" s="20"/>
      <c r="F188" s="31"/>
      <c r="G188" s="46"/>
      <c r="H188" s="47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</row>
    <row r="189" spans="1:198" s="46" customFormat="1" ht="15" x14ac:dyDescent="0.2">
      <c r="A189" s="107" t="s">
        <v>218</v>
      </c>
      <c r="B189" s="108"/>
      <c r="C189" s="63"/>
      <c r="D189" s="118"/>
      <c r="E189" s="44"/>
      <c r="F189" s="45"/>
      <c r="H189" s="47"/>
    </row>
    <row r="190" spans="1:198" ht="15" x14ac:dyDescent="0.2">
      <c r="A190" s="107" t="s">
        <v>219</v>
      </c>
      <c r="B190" s="108" t="s">
        <v>97</v>
      </c>
      <c r="C190" s="113">
        <v>412868.2</v>
      </c>
      <c r="D190" s="62">
        <v>52426004.036000006</v>
      </c>
      <c r="E190" s="16"/>
      <c r="F190" s="31"/>
      <c r="G190" s="46"/>
      <c r="H190" s="47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</row>
    <row r="191" spans="1:198" x14ac:dyDescent="0.2">
      <c r="A191" s="132"/>
      <c r="B191" s="133"/>
      <c r="C191" s="126"/>
      <c r="D191" s="127"/>
      <c r="G191" s="46"/>
      <c r="H191" s="47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</row>
    <row r="192" spans="1:198" ht="15" x14ac:dyDescent="0.2">
      <c r="A192" s="107" t="s">
        <v>220</v>
      </c>
      <c r="B192" s="111" t="s">
        <v>73</v>
      </c>
      <c r="C192" s="63"/>
      <c r="D192" s="118">
        <v>52426004.036000006</v>
      </c>
      <c r="E192" s="16"/>
      <c r="F192" s="31"/>
      <c r="G192" s="46"/>
      <c r="H192" s="47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</row>
    <row r="193" spans="1:198" ht="15" x14ac:dyDescent="0.2">
      <c r="A193" s="77"/>
      <c r="B193" s="78"/>
      <c r="C193" s="82"/>
      <c r="D193" s="81" t="s">
        <v>73</v>
      </c>
      <c r="E193" s="16"/>
      <c r="F193" s="31"/>
      <c r="G193" s="46"/>
      <c r="H193" s="47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</row>
    <row r="194" spans="1:198" s="46" customFormat="1" ht="15" x14ac:dyDescent="0.2">
      <c r="A194" s="61" t="s">
        <v>221</v>
      </c>
      <c r="B194" s="108"/>
      <c r="C194" s="63"/>
      <c r="D194" s="62"/>
      <c r="E194" s="44"/>
      <c r="F194" s="45"/>
      <c r="H194" s="47"/>
    </row>
    <row r="195" spans="1:198" ht="15" x14ac:dyDescent="0.2">
      <c r="A195" s="107" t="s">
        <v>229</v>
      </c>
      <c r="B195" s="108" t="s">
        <v>74</v>
      </c>
      <c r="C195" s="109">
        <v>14710000</v>
      </c>
      <c r="D195" s="62">
        <v>1454671900</v>
      </c>
      <c r="E195" s="16"/>
      <c r="F195" s="31"/>
      <c r="G195" s="46"/>
      <c r="H195" s="47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</row>
    <row r="196" spans="1:198" ht="15" x14ac:dyDescent="0.2">
      <c r="A196" s="107"/>
      <c r="B196" s="108"/>
      <c r="C196" s="109"/>
      <c r="D196" s="62"/>
      <c r="E196" s="16"/>
      <c r="F196" s="31"/>
      <c r="G196" s="46"/>
      <c r="H196" s="47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</row>
    <row r="197" spans="1:198" ht="15" x14ac:dyDescent="0.2">
      <c r="A197" s="107" t="s">
        <v>301</v>
      </c>
      <c r="B197" s="120" t="s">
        <v>74</v>
      </c>
      <c r="C197" s="161">
        <v>5880000</v>
      </c>
      <c r="D197" s="62">
        <v>581473200</v>
      </c>
      <c r="E197" s="16"/>
      <c r="F197" s="31"/>
      <c r="G197" s="46"/>
      <c r="H197" s="47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</row>
    <row r="198" spans="1:198" ht="15" x14ac:dyDescent="0.2">
      <c r="A198" s="107" t="s">
        <v>222</v>
      </c>
      <c r="B198" s="108"/>
      <c r="C198" s="109"/>
      <c r="D198" s="110">
        <v>2036145100</v>
      </c>
      <c r="E198" s="16"/>
      <c r="F198" s="31"/>
      <c r="G198" s="46"/>
      <c r="H198" s="47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</row>
    <row r="199" spans="1:198" ht="15" x14ac:dyDescent="0.2">
      <c r="A199" s="77"/>
      <c r="B199" s="78"/>
      <c r="C199" s="82"/>
      <c r="D199" s="81" t="s">
        <v>73</v>
      </c>
      <c r="E199" s="16"/>
      <c r="F199" s="31"/>
      <c r="G199" s="46"/>
      <c r="H199" s="47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</row>
    <row r="200" spans="1:198" s="46" customFormat="1" ht="15" x14ac:dyDescent="0.2">
      <c r="A200" s="107" t="s">
        <v>223</v>
      </c>
      <c r="B200" s="108"/>
      <c r="C200" s="63"/>
      <c r="D200" s="62"/>
      <c r="E200" s="44"/>
      <c r="F200" s="45"/>
      <c r="H200" s="47"/>
    </row>
    <row r="201" spans="1:198" ht="15" x14ac:dyDescent="0.2">
      <c r="A201" s="107" t="s">
        <v>224</v>
      </c>
      <c r="B201" s="108"/>
      <c r="C201" s="109"/>
      <c r="D201" s="62"/>
      <c r="E201" s="16"/>
      <c r="F201" s="31"/>
      <c r="G201" s="47"/>
      <c r="H201" s="47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</row>
    <row r="202" spans="1:198" ht="15" x14ac:dyDescent="0.2">
      <c r="A202" s="107" t="s">
        <v>225</v>
      </c>
      <c r="B202" s="108" t="s">
        <v>97</v>
      </c>
      <c r="C202" s="63">
        <v>0</v>
      </c>
      <c r="D202" s="62">
        <v>0</v>
      </c>
      <c r="E202" s="16">
        <v>6448000</v>
      </c>
      <c r="F202" s="31"/>
      <c r="G202" s="47"/>
      <c r="H202" s="47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</row>
    <row r="203" spans="1:198" ht="15" x14ac:dyDescent="0.2">
      <c r="A203" s="107" t="s">
        <v>226</v>
      </c>
      <c r="B203" s="108" t="s">
        <v>97</v>
      </c>
      <c r="C203" s="63">
        <v>19831</v>
      </c>
      <c r="D203" s="62">
        <v>2518140.38</v>
      </c>
      <c r="E203" s="16">
        <v>89235</v>
      </c>
      <c r="F203" s="31"/>
      <c r="G203" s="46"/>
      <c r="H203" s="47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</row>
    <row r="204" spans="1:198" ht="15" x14ac:dyDescent="0.2">
      <c r="A204" s="107" t="s">
        <v>227</v>
      </c>
      <c r="B204" s="108" t="s">
        <v>97</v>
      </c>
      <c r="C204" s="63">
        <v>94104</v>
      </c>
      <c r="D204" s="62">
        <v>11949325.92</v>
      </c>
      <c r="E204" s="16">
        <v>259039</v>
      </c>
      <c r="F204" s="31"/>
      <c r="G204" s="46"/>
      <c r="H204" s="47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</row>
    <row r="205" spans="1:198" ht="15" x14ac:dyDescent="0.2">
      <c r="A205" s="107" t="s">
        <v>341</v>
      </c>
      <c r="B205" s="108" t="s">
        <v>97</v>
      </c>
      <c r="C205" s="63">
        <v>4833924</v>
      </c>
      <c r="D205" s="62">
        <v>613811669.51999998</v>
      </c>
      <c r="E205" s="16"/>
      <c r="F205" s="31"/>
      <c r="G205" s="46"/>
      <c r="H205" s="47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</row>
    <row r="206" spans="1:198" ht="15" x14ac:dyDescent="0.2">
      <c r="A206" s="107"/>
      <c r="B206" s="108"/>
      <c r="C206" s="63"/>
      <c r="D206" s="62"/>
      <c r="E206" s="16"/>
      <c r="F206" s="31"/>
      <c r="G206" s="46"/>
      <c r="H206" s="47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</row>
    <row r="207" spans="1:198" ht="15" x14ac:dyDescent="0.2">
      <c r="A207" s="107" t="s">
        <v>228</v>
      </c>
      <c r="B207" s="108"/>
      <c r="C207" s="112"/>
      <c r="D207" s="118">
        <v>628279135.81999993</v>
      </c>
      <c r="E207" s="16"/>
      <c r="F207" s="31"/>
      <c r="G207" s="166"/>
      <c r="H207" s="47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</row>
    <row r="208" spans="1:198" ht="15" x14ac:dyDescent="0.2">
      <c r="A208" s="77"/>
      <c r="B208" s="78"/>
      <c r="C208" s="84"/>
      <c r="D208" s="87"/>
      <c r="E208" s="16"/>
      <c r="F208" s="31"/>
      <c r="G208" s="46"/>
      <c r="H208" s="47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</row>
    <row r="209" spans="1:198" ht="15" x14ac:dyDescent="0.2">
      <c r="A209" s="90"/>
      <c r="B209" s="78"/>
      <c r="C209" s="74"/>
      <c r="D209" s="79"/>
      <c r="E209" s="16"/>
      <c r="F209" s="31"/>
      <c r="G209" s="46"/>
      <c r="H209" s="47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</row>
    <row r="210" spans="1:198" ht="15" x14ac:dyDescent="0.2">
      <c r="A210" s="107" t="s">
        <v>230</v>
      </c>
      <c r="B210" s="108"/>
      <c r="C210" s="109"/>
      <c r="D210" s="62"/>
      <c r="E210" s="16"/>
      <c r="F210" s="31"/>
      <c r="G210" s="46"/>
      <c r="H210" s="47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</row>
    <row r="211" spans="1:198" ht="15" x14ac:dyDescent="0.2">
      <c r="A211" s="107" t="s">
        <v>231</v>
      </c>
      <c r="B211" s="108" t="s">
        <v>97</v>
      </c>
      <c r="C211" s="109">
        <v>1491603</v>
      </c>
      <c r="D211" s="62">
        <v>189403748.94</v>
      </c>
      <c r="E211" s="16">
        <f>5668089.84-298320.52</f>
        <v>5369769.3200000003</v>
      </c>
      <c r="F211" s="31"/>
      <c r="G211" s="46"/>
      <c r="H211" s="47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</row>
    <row r="212" spans="1:198" ht="15" x14ac:dyDescent="0.2">
      <c r="A212" s="107" t="s">
        <v>232</v>
      </c>
      <c r="B212" s="108" t="s">
        <v>97</v>
      </c>
      <c r="C212" s="109">
        <v>1216835</v>
      </c>
      <c r="D212" s="62">
        <v>154513708.30000001</v>
      </c>
      <c r="E212" s="16">
        <f>4867338.46-243366.92</f>
        <v>4623971.54</v>
      </c>
      <c r="F212" s="31"/>
      <c r="G212" s="46"/>
      <c r="H212" s="47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</row>
    <row r="213" spans="1:198" ht="15" x14ac:dyDescent="0.2">
      <c r="A213" s="107" t="s">
        <v>233</v>
      </c>
      <c r="B213" s="108" t="s">
        <v>97</v>
      </c>
      <c r="C213" s="109">
        <v>1752961</v>
      </c>
      <c r="D213" s="62">
        <v>222590987.78</v>
      </c>
      <c r="E213" s="16">
        <f>7011845.26-350592.26</f>
        <v>6661253</v>
      </c>
      <c r="F213" s="31"/>
      <c r="G213" s="46"/>
      <c r="H213" s="47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</row>
    <row r="214" spans="1:198" ht="15" x14ac:dyDescent="0.2">
      <c r="A214" s="107" t="s">
        <v>306</v>
      </c>
      <c r="B214" s="108" t="s">
        <v>97</v>
      </c>
      <c r="C214" s="109">
        <v>3893822</v>
      </c>
      <c r="D214" s="62">
        <v>494437517.56</v>
      </c>
      <c r="E214" s="16" t="s">
        <v>73</v>
      </c>
      <c r="F214" s="31"/>
      <c r="G214" s="46"/>
      <c r="H214" s="47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</row>
    <row r="215" spans="1:198" ht="15" x14ac:dyDescent="0.2">
      <c r="A215" s="107"/>
      <c r="B215" s="108"/>
      <c r="C215" s="109"/>
      <c r="D215" s="62"/>
      <c r="E215" s="16"/>
      <c r="F215" s="31"/>
      <c r="G215" s="46"/>
      <c r="H215" s="47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</row>
    <row r="216" spans="1:198" ht="15" x14ac:dyDescent="0.2">
      <c r="A216" s="119"/>
      <c r="B216" s="108"/>
      <c r="C216" s="109"/>
      <c r="D216" s="62"/>
      <c r="E216" s="16"/>
      <c r="F216" s="31"/>
      <c r="G216" s="46"/>
      <c r="H216" s="47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</row>
    <row r="217" spans="1:198" ht="15" x14ac:dyDescent="0.2">
      <c r="A217" s="107" t="s">
        <v>234</v>
      </c>
      <c r="B217" s="108"/>
      <c r="C217" s="113"/>
      <c r="D217" s="110">
        <v>1060945962.5799999</v>
      </c>
      <c r="E217" s="16"/>
      <c r="F217" s="31"/>
      <c r="G217" s="165"/>
      <c r="H217" s="47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</row>
    <row r="218" spans="1:198" ht="15" x14ac:dyDescent="0.2">
      <c r="A218" s="77"/>
      <c r="B218" s="78"/>
      <c r="C218" s="82"/>
      <c r="D218" s="81"/>
      <c r="E218" s="16"/>
      <c r="F218" s="31"/>
      <c r="G218" s="46"/>
      <c r="H218" s="47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</row>
    <row r="219" spans="1:198" s="46" customFormat="1" ht="15" x14ac:dyDescent="0.2">
      <c r="A219" s="107" t="s">
        <v>235</v>
      </c>
      <c r="B219" s="108"/>
      <c r="C219" s="109"/>
      <c r="D219" s="62"/>
      <c r="E219" s="44"/>
      <c r="F219" s="45"/>
      <c r="H219" s="47"/>
    </row>
    <row r="220" spans="1:198" ht="15" x14ac:dyDescent="0.2">
      <c r="A220" s="107" t="s">
        <v>236</v>
      </c>
      <c r="B220" s="68"/>
      <c r="C220" s="64"/>
      <c r="D220" s="116"/>
      <c r="F220" s="31"/>
      <c r="G220" s="46"/>
      <c r="H220" s="47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</row>
    <row r="221" spans="1:198" ht="15" x14ac:dyDescent="0.2">
      <c r="A221" s="107" t="s">
        <v>302</v>
      </c>
      <c r="B221" s="108" t="s">
        <v>74</v>
      </c>
      <c r="C221" s="112">
        <v>0</v>
      </c>
      <c r="D221" s="62">
        <v>0</v>
      </c>
      <c r="E221" s="16">
        <f>276084.79*6+276086.37</f>
        <v>1932595.1099999999</v>
      </c>
      <c r="F221" s="31"/>
      <c r="G221" s="46"/>
      <c r="H221" s="47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</row>
    <row r="222" spans="1:198" ht="15" x14ac:dyDescent="0.2">
      <c r="A222" s="107" t="s">
        <v>237</v>
      </c>
      <c r="B222" s="108" t="s">
        <v>74</v>
      </c>
      <c r="C222" s="112">
        <v>0</v>
      </c>
      <c r="D222" s="62">
        <v>0</v>
      </c>
      <c r="E222" s="16" t="s">
        <v>73</v>
      </c>
      <c r="F222" s="31"/>
      <c r="G222" s="46"/>
      <c r="H222" s="47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</row>
    <row r="223" spans="1:198" x14ac:dyDescent="0.2">
      <c r="A223" s="98"/>
      <c r="B223" s="91"/>
      <c r="C223" s="92"/>
      <c r="D223" s="93"/>
      <c r="G223" s="168"/>
      <c r="H223" s="47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</row>
    <row r="224" spans="1:198" ht="15" x14ac:dyDescent="0.2">
      <c r="A224" s="77"/>
      <c r="B224" s="73"/>
      <c r="C224" s="84" t="s">
        <v>73</v>
      </c>
      <c r="D224" s="81">
        <v>0</v>
      </c>
      <c r="E224" s="16"/>
      <c r="F224" s="31"/>
      <c r="G224" s="46"/>
      <c r="H224" s="47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</row>
    <row r="225" spans="1:198" ht="15" x14ac:dyDescent="0.2">
      <c r="A225" s="77"/>
      <c r="B225" s="78"/>
      <c r="C225" s="84"/>
      <c r="D225" s="81"/>
      <c r="E225" s="16"/>
      <c r="F225" s="31"/>
      <c r="G225" s="46"/>
      <c r="H225" s="47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</row>
    <row r="226" spans="1:198" ht="15" x14ac:dyDescent="0.2">
      <c r="A226" s="107" t="s">
        <v>238</v>
      </c>
      <c r="B226" s="73"/>
      <c r="C226" s="74"/>
      <c r="D226" s="87"/>
      <c r="E226" s="16"/>
      <c r="F226" s="31"/>
      <c r="G226" s="46"/>
      <c r="H226" s="47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</row>
    <row r="227" spans="1:198" ht="15" x14ac:dyDescent="0.2">
      <c r="A227" s="77"/>
      <c r="B227" s="78"/>
      <c r="C227" s="84"/>
      <c r="D227" s="81" t="s">
        <v>73</v>
      </c>
      <c r="E227" s="16"/>
      <c r="F227" s="31"/>
      <c r="G227" s="46"/>
      <c r="H227" s="47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</row>
    <row r="228" spans="1:198" s="46" customFormat="1" ht="15" x14ac:dyDescent="0.2">
      <c r="A228" s="107" t="s">
        <v>241</v>
      </c>
      <c r="B228" s="78"/>
      <c r="C228" s="82"/>
      <c r="D228" s="81"/>
      <c r="E228" s="44"/>
      <c r="F228" s="45"/>
      <c r="H228" s="47"/>
    </row>
    <row r="229" spans="1:198" ht="15" x14ac:dyDescent="0.2">
      <c r="A229" s="107" t="s">
        <v>239</v>
      </c>
      <c r="B229" s="78"/>
      <c r="C229" s="80"/>
      <c r="D229" s="81" t="s">
        <v>73</v>
      </c>
      <c r="E229" s="16"/>
      <c r="F229" s="31"/>
      <c r="G229" s="46"/>
      <c r="H229" s="47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</row>
    <row r="230" spans="1:198" ht="15" x14ac:dyDescent="0.2">
      <c r="A230" s="107" t="s">
        <v>298</v>
      </c>
      <c r="B230" s="108" t="s">
        <v>89</v>
      </c>
      <c r="C230" s="109">
        <v>1750000</v>
      </c>
      <c r="D230" s="62">
        <v>606375000</v>
      </c>
      <c r="E230" s="16"/>
      <c r="F230" s="31"/>
      <c r="G230" s="46"/>
      <c r="H230" s="47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</row>
    <row r="231" spans="1:198" ht="15" x14ac:dyDescent="0.2">
      <c r="A231" s="107" t="s">
        <v>240</v>
      </c>
      <c r="B231" s="108" t="s">
        <v>89</v>
      </c>
      <c r="C231" s="161">
        <v>2125000</v>
      </c>
      <c r="D231" s="62">
        <v>736312500</v>
      </c>
      <c r="E231" s="16"/>
      <c r="F231" s="31"/>
      <c r="G231" s="46"/>
      <c r="H231" s="47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</row>
    <row r="232" spans="1:198" ht="15" x14ac:dyDescent="0.2">
      <c r="A232" s="107" t="s">
        <v>274</v>
      </c>
      <c r="B232" s="108" t="s">
        <v>89</v>
      </c>
      <c r="C232" s="64">
        <v>0</v>
      </c>
      <c r="D232" s="62"/>
      <c r="E232" s="16"/>
      <c r="F232" s="31"/>
      <c r="G232" s="46"/>
      <c r="H232" s="47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</row>
    <row r="233" spans="1:198" ht="15" x14ac:dyDescent="0.2">
      <c r="A233" s="90"/>
      <c r="B233" s="78"/>
      <c r="C233" s="82"/>
      <c r="D233" s="81"/>
      <c r="E233" s="16"/>
      <c r="F233" s="31"/>
      <c r="G233" s="46"/>
      <c r="H233" s="47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</row>
    <row r="234" spans="1:198" ht="15" x14ac:dyDescent="0.2">
      <c r="A234" s="107" t="s">
        <v>58</v>
      </c>
      <c r="B234" s="108"/>
      <c r="C234" s="113"/>
      <c r="D234" s="110">
        <v>1342687500</v>
      </c>
      <c r="E234" s="16"/>
      <c r="F234" s="31"/>
      <c r="G234" s="169"/>
      <c r="H234" s="47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</row>
    <row r="235" spans="1:198" ht="15" x14ac:dyDescent="0.2">
      <c r="A235" s="77"/>
      <c r="B235" s="78"/>
      <c r="C235" s="82"/>
      <c r="D235" s="81"/>
      <c r="E235" s="16"/>
      <c r="F235" s="31"/>
      <c r="G235" s="46"/>
      <c r="H235" s="47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</row>
    <row r="236" spans="1:198" ht="15" x14ac:dyDescent="0.2">
      <c r="A236" s="77"/>
      <c r="B236" s="78"/>
      <c r="C236" s="82"/>
      <c r="D236" s="81"/>
      <c r="E236" s="16"/>
      <c r="F236" s="31"/>
      <c r="G236" s="46"/>
      <c r="H236" s="47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  <c r="BP236" s="46"/>
      <c r="BQ236" s="46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</row>
    <row r="237" spans="1:198" s="46" customFormat="1" ht="15" x14ac:dyDescent="0.2">
      <c r="A237" s="107" t="s">
        <v>248</v>
      </c>
      <c r="B237" s="108"/>
      <c r="C237" s="113"/>
      <c r="D237" s="110"/>
      <c r="E237" s="44"/>
      <c r="F237" s="45"/>
      <c r="H237" s="47"/>
    </row>
    <row r="238" spans="1:198" ht="15" x14ac:dyDescent="0.2">
      <c r="A238" s="107" t="s">
        <v>242</v>
      </c>
      <c r="B238" s="108" t="s">
        <v>74</v>
      </c>
      <c r="C238" s="109">
        <v>5987379.5099999998</v>
      </c>
      <c r="D238" s="62">
        <v>592091959.74389994</v>
      </c>
      <c r="E238" s="16"/>
      <c r="F238" s="31"/>
      <c r="G238" s="137"/>
      <c r="H238" s="47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</row>
    <row r="239" spans="1:198" ht="15" x14ac:dyDescent="0.2">
      <c r="A239" s="107" t="s">
        <v>73</v>
      </c>
      <c r="B239" s="108"/>
      <c r="C239" s="113"/>
      <c r="D239" s="110"/>
      <c r="E239" s="16"/>
      <c r="F239" s="31"/>
      <c r="G239" s="46"/>
      <c r="H239" s="47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</row>
    <row r="240" spans="1:198" ht="15" x14ac:dyDescent="0.2">
      <c r="A240" s="107" t="s">
        <v>243</v>
      </c>
      <c r="B240" s="108"/>
      <c r="C240" s="113"/>
      <c r="D240" s="110">
        <v>592091959.74389994</v>
      </c>
      <c r="E240" s="16"/>
      <c r="F240" s="31"/>
      <c r="G240" s="46"/>
      <c r="H240" s="47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</row>
    <row r="241" spans="1:198" ht="15" x14ac:dyDescent="0.2">
      <c r="A241" s="107"/>
      <c r="B241" s="108"/>
      <c r="C241" s="113"/>
      <c r="D241" s="110"/>
      <c r="E241" s="16"/>
      <c r="F241" s="31"/>
      <c r="G241" s="46"/>
      <c r="H241" s="47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</row>
    <row r="242" spans="1:198" s="46" customFormat="1" ht="15" x14ac:dyDescent="0.2">
      <c r="A242" s="107" t="s">
        <v>244</v>
      </c>
      <c r="B242" s="78"/>
      <c r="C242" s="82"/>
      <c r="D242" s="81"/>
      <c r="E242" s="44"/>
      <c r="F242" s="45"/>
      <c r="H242" s="47"/>
    </row>
    <row r="243" spans="1:198" ht="15" x14ac:dyDescent="0.2">
      <c r="A243" s="77"/>
      <c r="B243" s="78"/>
      <c r="C243" s="82"/>
      <c r="D243" s="81"/>
      <c r="E243" s="16"/>
      <c r="F243" s="31"/>
      <c r="G243" s="46"/>
      <c r="H243" s="47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</row>
    <row r="244" spans="1:198" ht="15" x14ac:dyDescent="0.2">
      <c r="A244" s="107" t="s">
        <v>245</v>
      </c>
      <c r="B244" s="108" t="s">
        <v>74</v>
      </c>
      <c r="C244" s="62">
        <v>8106818.9800000004</v>
      </c>
      <c r="D244" s="62">
        <v>801683328.93220007</v>
      </c>
      <c r="E244" s="16"/>
      <c r="F244" s="31"/>
      <c r="G244" s="166"/>
      <c r="H244" s="47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</row>
    <row r="245" spans="1:198" ht="15" x14ac:dyDescent="0.2">
      <c r="A245" s="107" t="s">
        <v>246</v>
      </c>
      <c r="B245" s="108" t="s">
        <v>74</v>
      </c>
      <c r="C245" s="62">
        <v>1852614.3</v>
      </c>
      <c r="D245" s="62">
        <v>183205028.127</v>
      </c>
      <c r="E245" s="16"/>
      <c r="F245" s="31"/>
      <c r="G245" s="166"/>
      <c r="H245" s="47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</row>
    <row r="246" spans="1:198" ht="15" x14ac:dyDescent="0.2">
      <c r="A246" s="107" t="s">
        <v>291</v>
      </c>
      <c r="B246" s="108" t="s">
        <v>74</v>
      </c>
      <c r="C246" s="109">
        <v>66487332.719999999</v>
      </c>
      <c r="D246" s="62">
        <v>6574932332.6807995</v>
      </c>
      <c r="E246" s="16"/>
      <c r="F246" s="31"/>
      <c r="G246" s="46"/>
      <c r="H246" s="47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</row>
    <row r="247" spans="1:198" ht="15" x14ac:dyDescent="0.2">
      <c r="A247" s="77"/>
      <c r="B247" s="78"/>
      <c r="C247" s="80"/>
      <c r="D247" s="79"/>
      <c r="E247" s="16"/>
      <c r="F247" s="31"/>
      <c r="G247" s="47"/>
      <c r="H247" s="47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</row>
    <row r="248" spans="1:198" ht="15" x14ac:dyDescent="0.2">
      <c r="A248" s="107" t="s">
        <v>247</v>
      </c>
      <c r="B248" s="108"/>
      <c r="C248" s="109"/>
      <c r="D248" s="110">
        <v>7559820689.7399998</v>
      </c>
      <c r="E248" s="16"/>
      <c r="F248" s="31"/>
      <c r="G248" s="166"/>
      <c r="H248" s="47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</row>
    <row r="249" spans="1:198" ht="15" x14ac:dyDescent="0.2">
      <c r="A249" s="77"/>
      <c r="B249" s="78"/>
      <c r="C249" s="82"/>
      <c r="D249" s="99"/>
      <c r="E249" s="16"/>
      <c r="F249" s="31"/>
      <c r="G249" s="166"/>
      <c r="H249" s="47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</row>
    <row r="250" spans="1:198" ht="15" x14ac:dyDescent="0.2">
      <c r="A250" s="134" t="s">
        <v>21</v>
      </c>
      <c r="B250" s="108"/>
      <c r="C250" s="113">
        <v>0</v>
      </c>
      <c r="D250" s="135">
        <v>55879260874.903198</v>
      </c>
      <c r="E250" s="16"/>
      <c r="F250" s="31"/>
      <c r="G250" s="46"/>
      <c r="H250" s="47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</row>
    <row r="251" spans="1:198" ht="15" x14ac:dyDescent="0.2">
      <c r="A251" s="83"/>
      <c r="B251" s="78"/>
      <c r="C251" s="74"/>
      <c r="D251" s="81"/>
      <c r="E251" s="16"/>
      <c r="F251" s="31"/>
      <c r="G251" s="46"/>
      <c r="H251" s="47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</row>
    <row r="252" spans="1:198" ht="15" x14ac:dyDescent="0.2">
      <c r="A252" s="134" t="s">
        <v>47</v>
      </c>
      <c r="B252" s="78"/>
      <c r="C252" s="88" t="s">
        <v>73</v>
      </c>
      <c r="D252" s="79"/>
      <c r="E252" s="16"/>
      <c r="F252" s="31"/>
      <c r="G252" s="46"/>
      <c r="H252" s="47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</row>
    <row r="253" spans="1:198" ht="15" x14ac:dyDescent="0.2">
      <c r="A253" s="77"/>
      <c r="B253" s="78"/>
      <c r="C253" s="74"/>
      <c r="D253" s="79"/>
      <c r="E253" s="16"/>
      <c r="F253" s="31"/>
      <c r="G253" s="46"/>
      <c r="H253" s="47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</row>
    <row r="254" spans="1:198" s="46" customFormat="1" ht="15" x14ac:dyDescent="0.2">
      <c r="A254" s="61" t="s">
        <v>49</v>
      </c>
      <c r="B254" s="108"/>
      <c r="C254" s="63"/>
      <c r="D254" s="62"/>
      <c r="E254" s="44"/>
      <c r="F254" s="45"/>
      <c r="H254" s="47"/>
    </row>
    <row r="255" spans="1:198" ht="15" x14ac:dyDescent="0.2">
      <c r="A255" s="115" t="s">
        <v>23</v>
      </c>
      <c r="B255" s="68" t="s">
        <v>74</v>
      </c>
      <c r="C255" s="63">
        <v>0</v>
      </c>
      <c r="D255" s="62">
        <v>0</v>
      </c>
      <c r="E255" s="16">
        <f>69906.34-4368.52</f>
        <v>65537.819999999992</v>
      </c>
      <c r="F255" s="31"/>
      <c r="G255" s="46"/>
      <c r="H255" s="47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</row>
    <row r="256" spans="1:198" ht="15" x14ac:dyDescent="0.2">
      <c r="A256" s="115" t="s">
        <v>23</v>
      </c>
      <c r="B256" s="68" t="s">
        <v>97</v>
      </c>
      <c r="C256" s="63">
        <v>0</v>
      </c>
      <c r="D256" s="62">
        <v>0</v>
      </c>
      <c r="E256" s="16">
        <f>291913.9-18253.99</f>
        <v>273659.91000000003</v>
      </c>
      <c r="F256" s="31"/>
      <c r="G256" s="46"/>
      <c r="H256" s="47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</row>
    <row r="257" spans="1:198" ht="15" x14ac:dyDescent="0.2">
      <c r="A257" s="115" t="s">
        <v>23</v>
      </c>
      <c r="B257" s="68" t="s">
        <v>105</v>
      </c>
      <c r="C257" s="63">
        <v>0</v>
      </c>
      <c r="D257" s="62">
        <v>0</v>
      </c>
      <c r="E257" s="16">
        <f>501080.23+137731.46-9837.96-35791.44</f>
        <v>593182.29</v>
      </c>
      <c r="F257" s="31"/>
      <c r="G257" s="46"/>
      <c r="H257" s="47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</row>
    <row r="258" spans="1:198" ht="15" x14ac:dyDescent="0.2">
      <c r="A258" s="115" t="s">
        <v>22</v>
      </c>
      <c r="B258" s="68" t="s">
        <v>74</v>
      </c>
      <c r="C258" s="63">
        <v>0</v>
      </c>
      <c r="D258" s="62">
        <v>0</v>
      </c>
      <c r="E258" s="16">
        <f>781457-55818.36</f>
        <v>725638.64</v>
      </c>
      <c r="F258" s="31"/>
      <c r="G258" s="46"/>
      <c r="H258" s="47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</row>
    <row r="259" spans="1:198" ht="15" x14ac:dyDescent="0.2">
      <c r="A259" s="115" t="s">
        <v>22</v>
      </c>
      <c r="B259" s="68" t="s">
        <v>105</v>
      </c>
      <c r="C259" s="63">
        <v>0</v>
      </c>
      <c r="D259" s="62">
        <v>0</v>
      </c>
      <c r="E259" s="16">
        <f>287269.86-20519.28</f>
        <v>266750.57999999996</v>
      </c>
      <c r="F259" s="31"/>
      <c r="G259" s="46"/>
      <c r="H259" s="47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</row>
    <row r="260" spans="1:198" ht="15" x14ac:dyDescent="0.2">
      <c r="A260" s="115" t="s">
        <v>22</v>
      </c>
      <c r="B260" s="68" t="s">
        <v>97</v>
      </c>
      <c r="C260" s="63">
        <v>0</v>
      </c>
      <c r="D260" s="62">
        <v>0</v>
      </c>
      <c r="E260" s="16">
        <f>2327485.59-144377.42-147703.12</f>
        <v>2035405.0499999998</v>
      </c>
      <c r="F260" s="31"/>
      <c r="G260" s="46"/>
      <c r="H260" s="47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</row>
    <row r="261" spans="1:198" s="46" customFormat="1" ht="15" x14ac:dyDescent="0.2">
      <c r="A261" s="115" t="s">
        <v>38</v>
      </c>
      <c r="B261" s="68" t="s">
        <v>74</v>
      </c>
      <c r="C261" s="63">
        <v>0</v>
      </c>
      <c r="D261" s="62">
        <v>0</v>
      </c>
      <c r="E261" s="44">
        <f>4753406.58-301105.46</f>
        <v>4452301.12</v>
      </c>
      <c r="F261" s="45">
        <v>2051006038</v>
      </c>
      <c r="H261" s="47"/>
    </row>
    <row r="262" spans="1:198" ht="15" x14ac:dyDescent="0.2">
      <c r="A262" s="115" t="s">
        <v>36</v>
      </c>
      <c r="B262" s="68" t="s">
        <v>74</v>
      </c>
      <c r="C262" s="63">
        <v>551294</v>
      </c>
      <c r="D262" s="62">
        <v>54517463.660000004</v>
      </c>
      <c r="E262" s="16">
        <f>2327485.59-236766.61</f>
        <v>2090718.98</v>
      </c>
      <c r="F262" s="31">
        <v>2051006037</v>
      </c>
      <c r="G262" s="46"/>
      <c r="H262" s="47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</row>
    <row r="263" spans="1:198" ht="15" x14ac:dyDescent="0.2">
      <c r="A263" s="115" t="s">
        <v>37</v>
      </c>
      <c r="B263" s="68" t="s">
        <v>74</v>
      </c>
      <c r="C263" s="63">
        <v>0</v>
      </c>
      <c r="D263" s="62">
        <v>0</v>
      </c>
      <c r="E263" s="16">
        <f>50752.41+1994256.39-3172.03-124641.02</f>
        <v>1917195.7499999998</v>
      </c>
      <c r="F263" s="31"/>
      <c r="G263" s="46"/>
      <c r="H263" s="47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</row>
    <row r="264" spans="1:198" ht="15" x14ac:dyDescent="0.2">
      <c r="A264" s="115" t="s">
        <v>24</v>
      </c>
      <c r="B264" s="68" t="s">
        <v>74</v>
      </c>
      <c r="C264" s="63">
        <v>127813</v>
      </c>
      <c r="D264" s="62">
        <v>12639427.57</v>
      </c>
      <c r="E264" s="16">
        <f>391304.03-24456.5</f>
        <v>366847.53</v>
      </c>
      <c r="F264" s="31"/>
      <c r="G264" s="46"/>
      <c r="H264" s="47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</row>
    <row r="265" spans="1:198" ht="15" x14ac:dyDescent="0.2">
      <c r="A265" s="115" t="s">
        <v>24</v>
      </c>
      <c r="B265" s="68" t="s">
        <v>105</v>
      </c>
      <c r="C265" s="63">
        <v>24457</v>
      </c>
      <c r="D265" s="62">
        <v>2380473.1809999999</v>
      </c>
      <c r="E265" s="16">
        <f>840551.62-52534.48</f>
        <v>788017.14</v>
      </c>
      <c r="F265" s="31"/>
      <c r="G265" s="46"/>
      <c r="H265" s="47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</row>
    <row r="266" spans="1:198" ht="15" x14ac:dyDescent="0.2">
      <c r="A266" s="115" t="s">
        <v>24</v>
      </c>
      <c r="B266" s="68" t="s">
        <v>97</v>
      </c>
      <c r="C266" s="63">
        <v>52535</v>
      </c>
      <c r="D266" s="62">
        <v>6670894.2999999998</v>
      </c>
      <c r="E266" s="16">
        <f>654573.17+1763731.09-97985.06-36365.18</f>
        <v>2283954.02</v>
      </c>
      <c r="F266" s="31"/>
      <c r="G266" s="46"/>
      <c r="H266" s="170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</row>
    <row r="267" spans="1:198" ht="15" x14ac:dyDescent="0.2">
      <c r="A267" s="115" t="s">
        <v>26</v>
      </c>
      <c r="B267" s="68" t="s">
        <v>74</v>
      </c>
      <c r="C267" s="63">
        <v>403050.66</v>
      </c>
      <c r="D267" s="62">
        <v>39857679.767399997</v>
      </c>
      <c r="E267" s="16">
        <f>384389.4-21354.97</f>
        <v>363034.43000000005</v>
      </c>
      <c r="F267" s="31"/>
      <c r="G267" s="46"/>
      <c r="H267" s="47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</row>
    <row r="268" spans="1:198" ht="15" x14ac:dyDescent="0.2">
      <c r="A268" s="115" t="s">
        <v>26</v>
      </c>
      <c r="B268" s="68" t="s">
        <v>97</v>
      </c>
      <c r="C268" s="63">
        <v>64065</v>
      </c>
      <c r="D268" s="62">
        <v>8134973.7000000002</v>
      </c>
      <c r="E268" s="16">
        <f>8881027-493390</f>
        <v>8387637</v>
      </c>
      <c r="F268" s="31"/>
      <c r="G268" s="46"/>
      <c r="H268" s="47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</row>
    <row r="269" spans="1:198" ht="15" x14ac:dyDescent="0.2">
      <c r="A269" s="115" t="s">
        <v>26</v>
      </c>
      <c r="B269" s="68" t="s">
        <v>27</v>
      </c>
      <c r="C269" s="63">
        <v>16807019</v>
      </c>
      <c r="D269" s="62">
        <v>17680983.988000002</v>
      </c>
      <c r="E269" s="16">
        <f>533140.41-9263</f>
        <v>523877.41000000003</v>
      </c>
      <c r="F269" s="31"/>
      <c r="G269" s="46"/>
      <c r="H269" s="47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</row>
    <row r="270" spans="1:198" ht="15" x14ac:dyDescent="0.2">
      <c r="A270" s="115" t="s">
        <v>26</v>
      </c>
      <c r="B270" s="68" t="s">
        <v>172</v>
      </c>
      <c r="C270" s="63">
        <v>125.29</v>
      </c>
      <c r="D270" s="62">
        <v>1963.8455760000002</v>
      </c>
      <c r="E270" s="16">
        <f>37106.15-2072.79</f>
        <v>35033.360000000001</v>
      </c>
      <c r="F270" s="31"/>
      <c r="G270" s="46"/>
      <c r="H270" s="47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</row>
    <row r="271" spans="1:198" ht="15" x14ac:dyDescent="0.2">
      <c r="A271" s="115" t="s">
        <v>26</v>
      </c>
      <c r="B271" s="68" t="s">
        <v>106</v>
      </c>
      <c r="C271" s="63">
        <v>6182.3</v>
      </c>
      <c r="D271" s="62">
        <v>928278.52730000007</v>
      </c>
      <c r="E271" s="16">
        <f>40042.03-2234</f>
        <v>37808.03</v>
      </c>
      <c r="F271" s="31"/>
      <c r="G271" s="46"/>
      <c r="H271" s="47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</row>
    <row r="272" spans="1:198" ht="15" x14ac:dyDescent="0.2">
      <c r="A272" s="115" t="s">
        <v>26</v>
      </c>
      <c r="B272" s="68" t="s">
        <v>105</v>
      </c>
      <c r="C272" s="63">
        <v>6672</v>
      </c>
      <c r="D272" s="62">
        <v>649405.77599999995</v>
      </c>
      <c r="E272" s="16">
        <f>366887.64-20382.65</f>
        <v>346504.99</v>
      </c>
      <c r="F272" s="32" t="s">
        <v>73</v>
      </c>
      <c r="G272" s="46"/>
      <c r="H272" s="47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</row>
    <row r="273" spans="1:198" ht="15" x14ac:dyDescent="0.2">
      <c r="A273" s="115" t="s">
        <v>26</v>
      </c>
      <c r="B273" s="68" t="s">
        <v>29</v>
      </c>
      <c r="C273" s="63">
        <v>67281.05</v>
      </c>
      <c r="D273" s="117">
        <v>1145998.1246500001</v>
      </c>
      <c r="E273" s="16">
        <f>33910327.55</f>
        <v>33910327.549999997</v>
      </c>
      <c r="F273" s="31">
        <v>2051006040</v>
      </c>
      <c r="G273" s="46"/>
      <c r="H273" s="47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</row>
    <row r="274" spans="1:198" s="46" customFormat="1" ht="15" x14ac:dyDescent="0.2">
      <c r="A274" s="115" t="s">
        <v>39</v>
      </c>
      <c r="B274" s="68" t="s">
        <v>74</v>
      </c>
      <c r="C274" s="63">
        <v>13165461.85</v>
      </c>
      <c r="D274" s="62">
        <v>1301932522.3464999</v>
      </c>
      <c r="E274" s="44">
        <f>1986451.65-110358.42</f>
        <v>1876093.23</v>
      </c>
      <c r="F274" s="45"/>
      <c r="H274" s="47"/>
    </row>
    <row r="275" spans="1:198" ht="15" x14ac:dyDescent="0.2">
      <c r="A275" s="115" t="s">
        <v>25</v>
      </c>
      <c r="B275" s="68" t="s">
        <v>74</v>
      </c>
      <c r="C275" s="63">
        <v>331075</v>
      </c>
      <c r="D275" s="62">
        <v>32740006.75</v>
      </c>
      <c r="E275" s="16"/>
      <c r="F275" s="31"/>
      <c r="G275" s="46"/>
      <c r="H275" s="47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</row>
    <row r="276" spans="1:198" ht="15" x14ac:dyDescent="0.2">
      <c r="A276" s="115" t="s">
        <v>25</v>
      </c>
      <c r="B276" s="68" t="s">
        <v>27</v>
      </c>
      <c r="C276" s="63">
        <v>1480177</v>
      </c>
      <c r="D276" s="62">
        <v>1557146.2040000001</v>
      </c>
      <c r="E276" s="16">
        <f>28423.75-1587.6</f>
        <v>26836.15</v>
      </c>
      <c r="F276" s="31"/>
      <c r="G276" s="46"/>
      <c r="H276" s="47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</row>
    <row r="277" spans="1:198" ht="15" x14ac:dyDescent="0.2">
      <c r="A277" s="115" t="s">
        <v>25</v>
      </c>
      <c r="B277" s="68" t="s">
        <v>97</v>
      </c>
      <c r="C277" s="63">
        <v>4736</v>
      </c>
      <c r="D277" s="62">
        <v>601377.28000000003</v>
      </c>
      <c r="E277" s="16">
        <f>607841.93+1133803.01-33769-62989.06</f>
        <v>1644886.88</v>
      </c>
      <c r="F277" s="31">
        <v>2051006015</v>
      </c>
      <c r="G277" s="46"/>
      <c r="H277" s="47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</row>
    <row r="278" spans="1:198" ht="15" x14ac:dyDescent="0.2">
      <c r="A278" s="115" t="s">
        <v>28</v>
      </c>
      <c r="B278" s="120" t="s">
        <v>74</v>
      </c>
      <c r="C278" s="63">
        <v>290274.03999999998</v>
      </c>
      <c r="D278" s="62">
        <v>28705199.815599997</v>
      </c>
      <c r="E278" s="16">
        <f>348966.48-19387.03</f>
        <v>329579.44999999995</v>
      </c>
      <c r="F278" s="31">
        <v>2051006015</v>
      </c>
      <c r="G278" s="46"/>
      <c r="H278" s="47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</row>
    <row r="279" spans="1:198" ht="15" x14ac:dyDescent="0.2">
      <c r="A279" s="115" t="s">
        <v>28</v>
      </c>
      <c r="B279" s="68" t="s">
        <v>105</v>
      </c>
      <c r="C279" s="63">
        <v>58161</v>
      </c>
      <c r="D279" s="62">
        <v>5660984.6129999999</v>
      </c>
      <c r="E279" s="16">
        <f>388344.83-21574.71</f>
        <v>366770.12</v>
      </c>
      <c r="F279" s="31">
        <v>2051006015</v>
      </c>
      <c r="G279" s="46"/>
      <c r="H279" s="47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</row>
    <row r="280" spans="1:198" ht="15" x14ac:dyDescent="0.2">
      <c r="A280" s="115" t="s">
        <v>28</v>
      </c>
      <c r="B280" s="68" t="s">
        <v>97</v>
      </c>
      <c r="C280" s="63">
        <v>64725</v>
      </c>
      <c r="D280" s="62">
        <v>8218780.5</v>
      </c>
      <c r="E280" s="16">
        <f>40804605-2266923</f>
        <v>38537682</v>
      </c>
      <c r="F280" s="31">
        <v>2051006015</v>
      </c>
      <c r="G280" s="46"/>
      <c r="H280" s="47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</row>
    <row r="281" spans="1:198" ht="15" x14ac:dyDescent="0.2">
      <c r="A281" s="115" t="s">
        <v>150</v>
      </c>
      <c r="B281" s="68" t="s">
        <v>27</v>
      </c>
      <c r="C281" s="63">
        <v>6800760</v>
      </c>
      <c r="D281" s="62">
        <v>7154399.5200000005</v>
      </c>
      <c r="E281" s="16">
        <f>375352.35-39854.95</f>
        <v>335497.39999999997</v>
      </c>
      <c r="F281" s="31">
        <v>2051006041</v>
      </c>
      <c r="G281" s="46"/>
      <c r="H281" s="47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</row>
    <row r="282" spans="1:198" ht="15" x14ac:dyDescent="0.2">
      <c r="A282" s="115" t="s">
        <v>30</v>
      </c>
      <c r="B282" s="68" t="s">
        <v>74</v>
      </c>
      <c r="C282" s="117">
        <v>579022.57999999996</v>
      </c>
      <c r="D282" s="62">
        <v>57259542.936199993</v>
      </c>
      <c r="E282" s="16">
        <f>29712.38-1495.12</f>
        <v>28217.260000000002</v>
      </c>
      <c r="F282" s="31">
        <v>2051006019</v>
      </c>
      <c r="G282" s="46"/>
      <c r="H282" s="47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</row>
    <row r="283" spans="1:198" ht="15" x14ac:dyDescent="0.2">
      <c r="A283" s="115" t="s">
        <v>30</v>
      </c>
      <c r="B283" s="68" t="s">
        <v>105</v>
      </c>
      <c r="C283" s="117">
        <v>7426</v>
      </c>
      <c r="D283" s="62">
        <v>722794.85800000001</v>
      </c>
      <c r="E283" s="16">
        <f>263268.61-13171.98</f>
        <v>250096.62999999998</v>
      </c>
      <c r="F283" s="31">
        <v>2051006019</v>
      </c>
      <c r="G283" s="46"/>
      <c r="H283" s="47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</row>
    <row r="284" spans="1:198" ht="15" x14ac:dyDescent="0.2">
      <c r="A284" s="115" t="s">
        <v>149</v>
      </c>
      <c r="B284" s="68" t="s">
        <v>97</v>
      </c>
      <c r="C284" s="117">
        <v>65815</v>
      </c>
      <c r="D284" s="62">
        <v>8357188.7000000002</v>
      </c>
      <c r="E284" s="16">
        <f>25866314.04-2130123.82</f>
        <v>23736190.219999999</v>
      </c>
      <c r="F284" s="31">
        <v>2051006066</v>
      </c>
      <c r="G284" s="46"/>
      <c r="H284" s="47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</row>
    <row r="285" spans="1:198" ht="15" x14ac:dyDescent="0.2">
      <c r="A285" s="115" t="s">
        <v>31</v>
      </c>
      <c r="B285" s="68" t="s">
        <v>74</v>
      </c>
      <c r="C285" s="63">
        <v>1411071</v>
      </c>
      <c r="D285" s="62">
        <v>139540811.19</v>
      </c>
      <c r="E285" s="16">
        <f>1019010.62-46328.21</f>
        <v>972682.41</v>
      </c>
      <c r="F285" s="31"/>
      <c r="G285" s="46"/>
      <c r="H285" s="47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</row>
    <row r="286" spans="1:198" ht="15" x14ac:dyDescent="0.2">
      <c r="A286" s="115" t="s">
        <v>31</v>
      </c>
      <c r="B286" s="68" t="s">
        <v>105</v>
      </c>
      <c r="C286" s="63">
        <v>277909</v>
      </c>
      <c r="D286" s="62">
        <v>27049716.697000001</v>
      </c>
      <c r="E286" s="16">
        <f>7042571.96-320164.64</f>
        <v>6722407.3200000003</v>
      </c>
      <c r="F286" s="31"/>
      <c r="G286" s="46"/>
      <c r="H286" s="47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</row>
    <row r="287" spans="1:198" ht="15" x14ac:dyDescent="0.2">
      <c r="A287" s="115" t="s">
        <v>31</v>
      </c>
      <c r="B287" s="68" t="s">
        <v>29</v>
      </c>
      <c r="C287" s="63">
        <v>1920688</v>
      </c>
      <c r="D287" s="117">
        <v>32715078.704000004</v>
      </c>
      <c r="E287" s="16">
        <f>1946083.91-88458.36</f>
        <v>1857625.5499999998</v>
      </c>
      <c r="F287" s="31"/>
      <c r="G287" s="46"/>
      <c r="H287" s="47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</row>
    <row r="288" spans="1:198" ht="15" x14ac:dyDescent="0.2">
      <c r="A288" s="115" t="s">
        <v>31</v>
      </c>
      <c r="B288" s="68" t="s">
        <v>97</v>
      </c>
      <c r="C288" s="63">
        <v>530750</v>
      </c>
      <c r="D288" s="62">
        <v>67394635</v>
      </c>
      <c r="E288" s="16">
        <f>102074640-4639756</f>
        <v>97434884</v>
      </c>
      <c r="F288" s="31"/>
      <c r="G288" s="46"/>
      <c r="H288" s="47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</row>
    <row r="289" spans="1:198" ht="15" x14ac:dyDescent="0.2">
      <c r="A289" s="115" t="s">
        <v>31</v>
      </c>
      <c r="B289" s="68" t="s">
        <v>27</v>
      </c>
      <c r="C289" s="63">
        <v>27838544</v>
      </c>
      <c r="D289" s="62">
        <v>29286148.288000003</v>
      </c>
      <c r="E289" s="16">
        <f>341546.7-15536.31</f>
        <v>326010.39</v>
      </c>
      <c r="F289" s="31"/>
      <c r="G289" s="46"/>
      <c r="H289" s="47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46"/>
      <c r="DP289" s="46"/>
      <c r="DQ289" s="46"/>
      <c r="DR289" s="46"/>
      <c r="DS289" s="46"/>
      <c r="DT289" s="46"/>
      <c r="DU289" s="46"/>
      <c r="DV289" s="46"/>
      <c r="DW289" s="46"/>
      <c r="DX289" s="46"/>
      <c r="DY289" s="46"/>
      <c r="DZ289" s="46"/>
      <c r="EA289" s="46"/>
      <c r="EB289" s="46"/>
      <c r="EC289" s="46"/>
      <c r="ED289" s="46"/>
      <c r="EE289" s="46"/>
      <c r="EF289" s="46"/>
      <c r="EG289" s="46"/>
      <c r="EH289" s="46"/>
      <c r="EI289" s="46"/>
      <c r="EJ289" s="46"/>
      <c r="EK289" s="46"/>
      <c r="EL289" s="46"/>
      <c r="EM289" s="46"/>
      <c r="EN289" s="46"/>
      <c r="EO289" s="46"/>
      <c r="EP289" s="46"/>
      <c r="EQ289" s="46"/>
      <c r="ER289" s="46"/>
      <c r="ES289" s="46"/>
      <c r="ET289" s="46"/>
      <c r="EU289" s="46"/>
      <c r="EV289" s="46"/>
      <c r="EW289" s="46"/>
      <c r="EX289" s="46"/>
      <c r="EY289" s="46"/>
      <c r="EZ289" s="46"/>
      <c r="FA289" s="46"/>
      <c r="FB289" s="46"/>
      <c r="FC289" s="46"/>
      <c r="FD289" s="46"/>
      <c r="FE289" s="46"/>
      <c r="FF289" s="46"/>
      <c r="FG289" s="46"/>
      <c r="FH289" s="46"/>
      <c r="FI289" s="46"/>
      <c r="FJ289" s="46"/>
      <c r="FK289" s="46"/>
      <c r="FL289" s="46"/>
      <c r="FM289" s="46"/>
      <c r="FN289" s="46"/>
      <c r="FO289" s="46"/>
      <c r="FP289" s="46"/>
      <c r="FQ289" s="46"/>
      <c r="FR289" s="46"/>
      <c r="FS289" s="46"/>
      <c r="FT289" s="46"/>
      <c r="FU289" s="46"/>
      <c r="FV289" s="46"/>
      <c r="FW289" s="46"/>
      <c r="FX289" s="46"/>
      <c r="FY289" s="46"/>
      <c r="FZ289" s="46"/>
      <c r="GA289" s="46"/>
      <c r="GB289" s="46"/>
      <c r="GC289" s="46"/>
      <c r="GD289" s="46"/>
      <c r="GE289" s="46"/>
      <c r="GF289" s="46"/>
      <c r="GG289" s="46"/>
      <c r="GH289" s="46"/>
      <c r="GI289" s="46"/>
      <c r="GJ289" s="46"/>
      <c r="GK289" s="46"/>
      <c r="GL289" s="46"/>
      <c r="GM289" s="46"/>
      <c r="GN289" s="46"/>
      <c r="GO289" s="46"/>
      <c r="GP289" s="46"/>
    </row>
    <row r="290" spans="1:198" ht="15" x14ac:dyDescent="0.2">
      <c r="A290" s="115" t="s">
        <v>31</v>
      </c>
      <c r="B290" s="68" t="s">
        <v>137</v>
      </c>
      <c r="C290" s="63">
        <v>93146</v>
      </c>
      <c r="D290" s="117">
        <v>9726677.904000001</v>
      </c>
      <c r="E290" s="16">
        <f>3675960.54-152794.7</f>
        <v>3523165.84</v>
      </c>
      <c r="F290" s="31">
        <v>2051006046</v>
      </c>
      <c r="G290" s="46"/>
      <c r="H290" s="47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46"/>
      <c r="DP290" s="46"/>
      <c r="DQ290" s="46"/>
      <c r="DR290" s="46"/>
      <c r="DS290" s="46"/>
      <c r="DT290" s="46"/>
      <c r="DU290" s="46"/>
      <c r="DV290" s="46"/>
      <c r="DW290" s="46"/>
      <c r="DX290" s="46"/>
      <c r="DY290" s="46"/>
      <c r="DZ290" s="46"/>
      <c r="EA290" s="46"/>
      <c r="EB290" s="46"/>
      <c r="EC290" s="46"/>
      <c r="ED290" s="46"/>
      <c r="EE290" s="46"/>
      <c r="EF290" s="46"/>
      <c r="EG290" s="46"/>
      <c r="EH290" s="46"/>
      <c r="EI290" s="46"/>
      <c r="EJ290" s="46"/>
      <c r="EK290" s="46"/>
      <c r="EL290" s="46"/>
      <c r="EM290" s="46"/>
      <c r="EN290" s="46"/>
      <c r="EO290" s="46"/>
      <c r="EP290" s="46"/>
      <c r="EQ290" s="46"/>
      <c r="ER290" s="46"/>
      <c r="ES290" s="46"/>
      <c r="ET290" s="46"/>
      <c r="EU290" s="46"/>
      <c r="EV290" s="46"/>
      <c r="EW290" s="46"/>
      <c r="EX290" s="46"/>
      <c r="EY290" s="46"/>
      <c r="EZ290" s="46"/>
      <c r="FA290" s="46"/>
      <c r="FB290" s="46"/>
      <c r="FC290" s="46"/>
      <c r="FD290" s="46"/>
      <c r="FE290" s="46"/>
      <c r="FF290" s="46"/>
      <c r="FG290" s="46"/>
      <c r="FH290" s="46"/>
      <c r="FI290" s="46"/>
      <c r="FJ290" s="46"/>
      <c r="FK290" s="46"/>
      <c r="FL290" s="46"/>
      <c r="FM290" s="46"/>
      <c r="FN290" s="46"/>
      <c r="FO290" s="46"/>
      <c r="FP290" s="46"/>
      <c r="FQ290" s="46"/>
      <c r="FR290" s="46"/>
      <c r="FS290" s="46"/>
      <c r="FT290" s="46"/>
      <c r="FU290" s="46"/>
      <c r="FV290" s="46"/>
      <c r="FW290" s="46"/>
      <c r="FX290" s="46"/>
      <c r="FY290" s="46"/>
      <c r="FZ290" s="46"/>
      <c r="GA290" s="46"/>
      <c r="GB290" s="46"/>
      <c r="GC290" s="46"/>
      <c r="GD290" s="46"/>
      <c r="GE290" s="46"/>
      <c r="GF290" s="46"/>
      <c r="GG290" s="46"/>
      <c r="GH290" s="46"/>
      <c r="GI290" s="46"/>
      <c r="GJ290" s="46"/>
      <c r="GK290" s="46"/>
      <c r="GL290" s="46"/>
      <c r="GM290" s="46"/>
      <c r="GN290" s="46"/>
      <c r="GO290" s="46"/>
      <c r="GP290" s="46"/>
    </row>
    <row r="291" spans="1:198" ht="15" x14ac:dyDescent="0.2">
      <c r="A291" s="115" t="s">
        <v>345</v>
      </c>
      <c r="B291" s="68" t="s">
        <v>74</v>
      </c>
      <c r="C291" s="63">
        <v>2405097.23</v>
      </c>
      <c r="D291" s="117">
        <v>237840065.0747</v>
      </c>
      <c r="E291" s="16"/>
      <c r="F291" s="31"/>
      <c r="G291" s="46"/>
      <c r="H291" s="47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  <c r="EF291" s="46"/>
      <c r="EG291" s="46"/>
      <c r="EH291" s="46"/>
      <c r="EI291" s="46"/>
      <c r="EJ291" s="46"/>
      <c r="EK291" s="46"/>
      <c r="EL291" s="46"/>
      <c r="EM291" s="46"/>
      <c r="EN291" s="46"/>
      <c r="EO291" s="46"/>
      <c r="EP291" s="46"/>
      <c r="EQ291" s="46"/>
      <c r="ER291" s="46"/>
      <c r="ES291" s="46"/>
      <c r="ET291" s="46"/>
      <c r="EU291" s="46"/>
      <c r="EV291" s="46"/>
      <c r="EW291" s="46"/>
      <c r="EX291" s="46"/>
      <c r="EY291" s="46"/>
      <c r="EZ291" s="46"/>
      <c r="FA291" s="46"/>
      <c r="FB291" s="46"/>
      <c r="FC291" s="46"/>
      <c r="FD291" s="46"/>
      <c r="FE291" s="46"/>
      <c r="FF291" s="46"/>
      <c r="FG291" s="46"/>
      <c r="FH291" s="46"/>
      <c r="FI291" s="46"/>
      <c r="FJ291" s="46"/>
      <c r="FK291" s="46"/>
      <c r="FL291" s="46"/>
      <c r="FM291" s="46"/>
      <c r="FN291" s="46"/>
      <c r="FO291" s="46"/>
      <c r="FP291" s="46"/>
      <c r="FQ291" s="46"/>
      <c r="FR291" s="46"/>
      <c r="FS291" s="46"/>
      <c r="FT291" s="46"/>
      <c r="FU291" s="46"/>
      <c r="FV291" s="46"/>
      <c r="FW291" s="46"/>
      <c r="FX291" s="46"/>
      <c r="FY291" s="46"/>
      <c r="FZ291" s="46"/>
      <c r="GA291" s="46"/>
      <c r="GB291" s="46"/>
      <c r="GC291" s="46"/>
      <c r="GD291" s="46"/>
      <c r="GE291" s="46"/>
      <c r="GF291" s="46"/>
      <c r="GG291" s="46"/>
      <c r="GH291" s="46"/>
      <c r="GI291" s="46"/>
      <c r="GJ291" s="46"/>
      <c r="GK291" s="46"/>
      <c r="GL291" s="46"/>
      <c r="GM291" s="46"/>
      <c r="GN291" s="46"/>
      <c r="GO291" s="46"/>
      <c r="GP291" s="46"/>
    </row>
    <row r="292" spans="1:198" ht="15" x14ac:dyDescent="0.2">
      <c r="A292" s="115" t="s">
        <v>40</v>
      </c>
      <c r="B292" s="68" t="s">
        <v>163</v>
      </c>
      <c r="C292" s="63">
        <v>8365599.8499999996</v>
      </c>
      <c r="D292" s="117">
        <v>1541612740.358</v>
      </c>
      <c r="E292" s="16">
        <f>13514859.76-478793.3-485588.02</f>
        <v>12550478.439999999</v>
      </c>
      <c r="F292" s="31">
        <v>2051006049</v>
      </c>
      <c r="G292" s="46"/>
      <c r="H292" s="47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46"/>
      <c r="DP292" s="46"/>
      <c r="DQ292" s="46"/>
      <c r="DR292" s="46"/>
      <c r="DS292" s="46"/>
      <c r="DT292" s="46"/>
      <c r="DU292" s="46"/>
      <c r="DV292" s="46"/>
      <c r="DW292" s="46"/>
      <c r="DX292" s="46"/>
      <c r="DY292" s="46"/>
      <c r="DZ292" s="46"/>
      <c r="EA292" s="46"/>
      <c r="EB292" s="46"/>
      <c r="EC292" s="46"/>
      <c r="ED292" s="46"/>
      <c r="EE292" s="46"/>
      <c r="EF292" s="46"/>
      <c r="EG292" s="46"/>
      <c r="EH292" s="46"/>
      <c r="EI292" s="46"/>
      <c r="EJ292" s="46"/>
      <c r="EK292" s="46"/>
      <c r="EL292" s="46"/>
      <c r="EM292" s="46"/>
      <c r="EN292" s="46"/>
      <c r="EO292" s="46"/>
      <c r="EP292" s="46"/>
      <c r="EQ292" s="46"/>
      <c r="ER292" s="46"/>
      <c r="ES292" s="46"/>
      <c r="ET292" s="46"/>
      <c r="EU292" s="46"/>
      <c r="EV292" s="46"/>
      <c r="EW292" s="46"/>
      <c r="EX292" s="46"/>
      <c r="EY292" s="46"/>
      <c r="EZ292" s="46"/>
      <c r="FA292" s="46"/>
      <c r="FB292" s="46"/>
      <c r="FC292" s="46"/>
      <c r="FD292" s="46"/>
      <c r="FE292" s="46"/>
      <c r="FF292" s="46"/>
      <c r="FG292" s="46"/>
      <c r="FH292" s="46"/>
      <c r="FI292" s="46"/>
      <c r="FJ292" s="46"/>
      <c r="FK292" s="46"/>
      <c r="FL292" s="46"/>
      <c r="FM292" s="46"/>
      <c r="FN292" s="46"/>
      <c r="FO292" s="46"/>
      <c r="FP292" s="46"/>
      <c r="FQ292" s="46"/>
      <c r="FR292" s="46"/>
      <c r="FS292" s="46"/>
      <c r="FT292" s="46"/>
      <c r="FU292" s="46"/>
      <c r="FV292" s="46"/>
      <c r="FW292" s="46"/>
      <c r="FX292" s="46"/>
      <c r="FY292" s="46"/>
      <c r="FZ292" s="46"/>
      <c r="GA292" s="46"/>
      <c r="GB292" s="46"/>
      <c r="GC292" s="46"/>
      <c r="GD292" s="46"/>
      <c r="GE292" s="46"/>
      <c r="GF292" s="46"/>
      <c r="GG292" s="46"/>
      <c r="GH292" s="46"/>
      <c r="GI292" s="46"/>
      <c r="GJ292" s="46"/>
      <c r="GK292" s="46"/>
      <c r="GL292" s="46"/>
      <c r="GM292" s="46"/>
      <c r="GN292" s="46"/>
      <c r="GO292" s="46"/>
      <c r="GP292" s="46"/>
    </row>
    <row r="293" spans="1:198" ht="15" x14ac:dyDescent="0.2">
      <c r="A293" s="115" t="s">
        <v>41</v>
      </c>
      <c r="B293" s="68" t="s">
        <v>74</v>
      </c>
      <c r="C293" s="63">
        <v>9282301.8300000001</v>
      </c>
      <c r="D293" s="62">
        <v>917926827.96870005</v>
      </c>
      <c r="E293" s="16">
        <f>2979705.51-114604.06</f>
        <v>2865101.4499999997</v>
      </c>
      <c r="F293" s="31"/>
      <c r="G293" s="46"/>
      <c r="H293" s="47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  <c r="EF293" s="46"/>
      <c r="EG293" s="46"/>
      <c r="EH293" s="46"/>
      <c r="EI293" s="46"/>
      <c r="EJ293" s="46"/>
      <c r="EK293" s="46"/>
      <c r="EL293" s="46"/>
      <c r="EM293" s="46"/>
      <c r="EN293" s="46"/>
      <c r="EO293" s="46"/>
      <c r="EP293" s="46"/>
      <c r="EQ293" s="46"/>
      <c r="ER293" s="46"/>
      <c r="ES293" s="46"/>
      <c r="ET293" s="46"/>
      <c r="EU293" s="46"/>
      <c r="EV293" s="46"/>
      <c r="EW293" s="46"/>
      <c r="EX293" s="46"/>
      <c r="EY293" s="46"/>
      <c r="EZ293" s="46"/>
      <c r="FA293" s="46"/>
      <c r="FB293" s="46"/>
      <c r="FC293" s="46"/>
      <c r="FD293" s="46"/>
      <c r="FE293" s="46"/>
      <c r="FF293" s="46"/>
      <c r="FG293" s="46"/>
      <c r="FH293" s="46"/>
      <c r="FI293" s="46"/>
      <c r="FJ293" s="46"/>
      <c r="FK293" s="46"/>
      <c r="FL293" s="46"/>
      <c r="FM293" s="46"/>
      <c r="FN293" s="46"/>
      <c r="FO293" s="46"/>
      <c r="FP293" s="46"/>
      <c r="FQ293" s="46"/>
      <c r="FR293" s="46"/>
      <c r="FS293" s="46"/>
      <c r="FT293" s="46"/>
      <c r="FU293" s="46"/>
      <c r="FV293" s="46"/>
      <c r="FW293" s="46"/>
      <c r="FX293" s="46"/>
      <c r="FY293" s="46"/>
      <c r="FZ293" s="46"/>
      <c r="GA293" s="46"/>
      <c r="GB293" s="46"/>
      <c r="GC293" s="46"/>
      <c r="GD293" s="46"/>
      <c r="GE293" s="46"/>
      <c r="GF293" s="46"/>
      <c r="GG293" s="46"/>
      <c r="GH293" s="46"/>
      <c r="GI293" s="46"/>
      <c r="GJ293" s="46"/>
      <c r="GK293" s="46"/>
      <c r="GL293" s="46"/>
      <c r="GM293" s="46"/>
      <c r="GN293" s="46"/>
      <c r="GO293" s="46"/>
      <c r="GP293" s="46"/>
    </row>
    <row r="294" spans="1:198" ht="15" x14ac:dyDescent="0.2">
      <c r="A294" s="115" t="s">
        <v>32</v>
      </c>
      <c r="B294" s="68" t="s">
        <v>74</v>
      </c>
      <c r="C294" s="63">
        <v>1262936.69</v>
      </c>
      <c r="D294" s="62">
        <v>124891809.27409999</v>
      </c>
      <c r="E294" s="16">
        <f>6555456.56-252132.94</f>
        <v>6303323.6199999992</v>
      </c>
      <c r="F294" s="31"/>
      <c r="G294" s="46"/>
      <c r="H294" s="47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  <c r="GG294" s="46"/>
      <c r="GH294" s="46"/>
      <c r="GI294" s="46"/>
      <c r="GJ294" s="46"/>
      <c r="GK294" s="46"/>
      <c r="GL294" s="46"/>
      <c r="GM294" s="46"/>
      <c r="GN294" s="46"/>
      <c r="GO294" s="46"/>
      <c r="GP294" s="46"/>
    </row>
    <row r="295" spans="1:198" ht="15" x14ac:dyDescent="0.2">
      <c r="A295" s="115" t="s">
        <v>32</v>
      </c>
      <c r="B295" s="68" t="s">
        <v>172</v>
      </c>
      <c r="C295" s="63">
        <v>3026.3</v>
      </c>
      <c r="D295" s="62">
        <v>47435.436720000005</v>
      </c>
      <c r="E295" s="16">
        <f>252730.3-9720.4</f>
        <v>243009.9</v>
      </c>
      <c r="F295" s="31"/>
      <c r="G295" s="46"/>
      <c r="H295" s="47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  <c r="GG295" s="46"/>
      <c r="GH295" s="46"/>
      <c r="GI295" s="46"/>
      <c r="GJ295" s="46"/>
      <c r="GK295" s="46"/>
      <c r="GL295" s="46"/>
      <c r="GM295" s="46"/>
      <c r="GN295" s="46"/>
      <c r="GO295" s="46"/>
      <c r="GP295" s="46"/>
    </row>
    <row r="296" spans="1:198" ht="15" x14ac:dyDescent="0.2">
      <c r="A296" s="115" t="s">
        <v>32</v>
      </c>
      <c r="B296" s="68" t="s">
        <v>97</v>
      </c>
      <c r="C296" s="63">
        <v>107118.79</v>
      </c>
      <c r="D296" s="62">
        <v>13601943.9542</v>
      </c>
      <c r="E296" s="16">
        <f>202066.58-7783.33</f>
        <v>194283.25</v>
      </c>
      <c r="F296" s="31"/>
      <c r="G296" s="46"/>
      <c r="H296" s="47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  <c r="EY296" s="46"/>
      <c r="EZ296" s="46"/>
      <c r="FA296" s="46"/>
      <c r="FB296" s="46"/>
      <c r="FC296" s="46"/>
      <c r="FD296" s="46"/>
      <c r="FE296" s="46"/>
      <c r="FF296" s="46"/>
      <c r="FG296" s="46"/>
      <c r="FH296" s="46"/>
      <c r="FI296" s="46"/>
      <c r="FJ296" s="46"/>
      <c r="FK296" s="46"/>
      <c r="FL296" s="46"/>
      <c r="FM296" s="46"/>
      <c r="FN296" s="46"/>
      <c r="FO296" s="46"/>
      <c r="FP296" s="46"/>
      <c r="FQ296" s="46"/>
      <c r="FR296" s="46"/>
      <c r="FS296" s="46"/>
      <c r="FT296" s="46"/>
      <c r="FU296" s="46"/>
      <c r="FV296" s="46"/>
      <c r="FW296" s="46"/>
      <c r="FX296" s="46"/>
      <c r="FY296" s="46"/>
      <c r="FZ296" s="46"/>
      <c r="GA296" s="46"/>
      <c r="GB296" s="46"/>
      <c r="GC296" s="46"/>
      <c r="GD296" s="46"/>
      <c r="GE296" s="46"/>
      <c r="GF296" s="46"/>
      <c r="GG296" s="46"/>
      <c r="GH296" s="46"/>
      <c r="GI296" s="46"/>
      <c r="GJ296" s="46"/>
      <c r="GK296" s="46"/>
      <c r="GL296" s="46"/>
      <c r="GM296" s="46"/>
      <c r="GN296" s="46"/>
      <c r="GO296" s="46"/>
      <c r="GP296" s="46"/>
    </row>
    <row r="297" spans="1:198" ht="15" x14ac:dyDescent="0.2">
      <c r="A297" s="115" t="s">
        <v>32</v>
      </c>
      <c r="B297" s="68" t="s">
        <v>106</v>
      </c>
      <c r="C297" s="63">
        <v>85640.05</v>
      </c>
      <c r="D297" s="62">
        <v>12858939.147550002</v>
      </c>
      <c r="E297" s="16">
        <f>116898562-4496099</f>
        <v>112402463</v>
      </c>
      <c r="F297" s="31"/>
      <c r="G297" s="46"/>
      <c r="H297" s="47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46"/>
      <c r="DP297" s="46"/>
      <c r="DQ297" s="46"/>
      <c r="DR297" s="46"/>
      <c r="DS297" s="46"/>
      <c r="DT297" s="46"/>
      <c r="DU297" s="46"/>
      <c r="DV297" s="46"/>
      <c r="DW297" s="46"/>
      <c r="DX297" s="46"/>
      <c r="DY297" s="46"/>
      <c r="DZ297" s="46"/>
      <c r="EA297" s="46"/>
      <c r="EB297" s="46"/>
      <c r="EC297" s="46"/>
      <c r="ED297" s="46"/>
      <c r="EE297" s="46"/>
      <c r="EF297" s="46"/>
      <c r="EG297" s="46"/>
      <c r="EH297" s="46"/>
      <c r="EI297" s="46"/>
      <c r="EJ297" s="46"/>
      <c r="EK297" s="46"/>
      <c r="EL297" s="46"/>
      <c r="EM297" s="46"/>
      <c r="EN297" s="46"/>
      <c r="EO297" s="46"/>
      <c r="EP297" s="46"/>
      <c r="EQ297" s="46"/>
      <c r="ER297" s="46"/>
      <c r="ES297" s="46"/>
      <c r="ET297" s="46"/>
      <c r="EU297" s="46"/>
      <c r="EV297" s="46"/>
      <c r="EW297" s="46"/>
      <c r="EX297" s="46"/>
      <c r="EY297" s="46"/>
      <c r="EZ297" s="46"/>
      <c r="FA297" s="46"/>
      <c r="FB297" s="46"/>
      <c r="FC297" s="46"/>
      <c r="FD297" s="46"/>
      <c r="FE297" s="46"/>
      <c r="FF297" s="46"/>
      <c r="FG297" s="46"/>
      <c r="FH297" s="46"/>
      <c r="FI297" s="46"/>
      <c r="FJ297" s="46"/>
      <c r="FK297" s="46"/>
      <c r="FL297" s="46"/>
      <c r="FM297" s="46"/>
      <c r="FN297" s="46"/>
      <c r="FO297" s="46"/>
      <c r="FP297" s="46"/>
      <c r="FQ297" s="46"/>
      <c r="FR297" s="46"/>
      <c r="FS297" s="46"/>
      <c r="FT297" s="46"/>
      <c r="FU297" s="46"/>
      <c r="FV297" s="46"/>
      <c r="FW297" s="46"/>
      <c r="FX297" s="46"/>
      <c r="FY297" s="46"/>
      <c r="FZ297" s="46"/>
      <c r="GA297" s="46"/>
      <c r="GB297" s="46"/>
      <c r="GC297" s="46"/>
      <c r="GD297" s="46"/>
      <c r="GE297" s="46"/>
      <c r="GF297" s="46"/>
      <c r="GG297" s="46"/>
      <c r="GH297" s="46"/>
      <c r="GI297" s="46"/>
      <c r="GJ297" s="46"/>
      <c r="GK297" s="46"/>
      <c r="GL297" s="46"/>
      <c r="GM297" s="46"/>
      <c r="GN297" s="46"/>
      <c r="GO297" s="46"/>
      <c r="GP297" s="46"/>
    </row>
    <row r="298" spans="1:198" ht="15" x14ac:dyDescent="0.2">
      <c r="A298" s="115" t="s">
        <v>32</v>
      </c>
      <c r="B298" s="68" t="s">
        <v>27</v>
      </c>
      <c r="C298" s="63">
        <v>49457007</v>
      </c>
      <c r="D298" s="62">
        <v>52028771.364</v>
      </c>
      <c r="E298" s="16">
        <f>975013.84-36111.63</f>
        <v>938902.21</v>
      </c>
      <c r="F298" s="31">
        <v>2051006028</v>
      </c>
      <c r="G298" s="46"/>
      <c r="H298" s="47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46"/>
      <c r="DP298" s="46"/>
      <c r="DQ298" s="46"/>
      <c r="DR298" s="46"/>
      <c r="DS298" s="46"/>
      <c r="DT298" s="46"/>
      <c r="DU298" s="46"/>
      <c r="DV298" s="46"/>
      <c r="DW298" s="46"/>
      <c r="DX298" s="46"/>
      <c r="DY298" s="46"/>
      <c r="DZ298" s="46"/>
      <c r="EA298" s="46"/>
      <c r="EB298" s="46"/>
      <c r="EC298" s="46"/>
      <c r="ED298" s="46"/>
      <c r="EE298" s="46"/>
      <c r="EF298" s="46"/>
      <c r="EG298" s="46"/>
      <c r="EH298" s="46"/>
      <c r="EI298" s="46"/>
      <c r="EJ298" s="46"/>
      <c r="EK298" s="46"/>
      <c r="EL298" s="46"/>
      <c r="EM298" s="46"/>
      <c r="EN298" s="46"/>
      <c r="EO298" s="46"/>
      <c r="EP298" s="46"/>
      <c r="EQ298" s="46"/>
      <c r="ER298" s="46"/>
      <c r="ES298" s="46"/>
      <c r="ET298" s="46"/>
      <c r="EU298" s="46"/>
      <c r="EV298" s="46"/>
      <c r="EW298" s="46"/>
      <c r="EX298" s="46"/>
      <c r="EY298" s="46"/>
      <c r="EZ298" s="46"/>
      <c r="FA298" s="46"/>
      <c r="FB298" s="46"/>
      <c r="FC298" s="46"/>
      <c r="FD298" s="46"/>
      <c r="FE298" s="46"/>
      <c r="FF298" s="46"/>
      <c r="FG298" s="46"/>
      <c r="FH298" s="46"/>
      <c r="FI298" s="46"/>
      <c r="FJ298" s="46"/>
      <c r="FK298" s="46"/>
      <c r="FL298" s="46"/>
      <c r="FM298" s="46"/>
      <c r="FN298" s="46"/>
      <c r="FO298" s="46"/>
      <c r="FP298" s="46"/>
      <c r="FQ298" s="46"/>
      <c r="FR298" s="46"/>
      <c r="FS298" s="46"/>
      <c r="FT298" s="46"/>
      <c r="FU298" s="46"/>
      <c r="FV298" s="46"/>
      <c r="FW298" s="46"/>
      <c r="FX298" s="46"/>
      <c r="FY298" s="46"/>
      <c r="FZ298" s="46"/>
      <c r="GA298" s="46"/>
      <c r="GB298" s="46"/>
      <c r="GC298" s="46"/>
      <c r="GD298" s="46"/>
      <c r="GE298" s="46"/>
      <c r="GF298" s="46"/>
      <c r="GG298" s="46"/>
      <c r="GH298" s="46"/>
      <c r="GI298" s="46"/>
      <c r="GJ298" s="46"/>
      <c r="GK298" s="46"/>
      <c r="GL298" s="46"/>
      <c r="GM298" s="46"/>
      <c r="GN298" s="46"/>
      <c r="GO298" s="46"/>
      <c r="GP298" s="46"/>
    </row>
    <row r="299" spans="1:198" ht="15" x14ac:dyDescent="0.2">
      <c r="A299" s="115" t="s">
        <v>34</v>
      </c>
      <c r="B299" s="68" t="s">
        <v>74</v>
      </c>
      <c r="C299" s="63">
        <v>2181357.27</v>
      </c>
      <c r="D299" s="62">
        <v>215714420.4303</v>
      </c>
      <c r="E299" s="16">
        <f>390576.75-13030.83</f>
        <v>377545.92</v>
      </c>
      <c r="F299" s="31"/>
      <c r="G299" s="46"/>
      <c r="H299" s="47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  <c r="GG299" s="46"/>
      <c r="GH299" s="46"/>
      <c r="GI299" s="46"/>
      <c r="GJ299" s="46"/>
      <c r="GK299" s="46"/>
      <c r="GL299" s="46"/>
      <c r="GM299" s="46"/>
      <c r="GN299" s="46"/>
      <c r="GO299" s="46"/>
      <c r="GP299" s="46"/>
    </row>
    <row r="300" spans="1:198" ht="15" x14ac:dyDescent="0.2">
      <c r="A300" s="115" t="s">
        <v>34</v>
      </c>
      <c r="B300" s="68" t="s">
        <v>106</v>
      </c>
      <c r="C300" s="63">
        <v>182263.47</v>
      </c>
      <c r="D300" s="62">
        <v>27367042.283970002</v>
      </c>
      <c r="E300" s="16">
        <f>11490783.75-383026.13</f>
        <v>11107757.619999999</v>
      </c>
      <c r="F300" s="31"/>
      <c r="G300" s="46"/>
      <c r="H300" s="47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46"/>
      <c r="DP300" s="46"/>
      <c r="DQ300" s="46"/>
      <c r="DR300" s="46"/>
      <c r="DS300" s="46"/>
      <c r="DT300" s="46"/>
      <c r="DU300" s="46"/>
      <c r="DV300" s="46"/>
      <c r="DW300" s="46"/>
      <c r="DX300" s="46"/>
      <c r="DY300" s="46"/>
      <c r="DZ300" s="46"/>
      <c r="EA300" s="46"/>
      <c r="EB300" s="46"/>
      <c r="EC300" s="46"/>
      <c r="ED300" s="46"/>
      <c r="EE300" s="46"/>
      <c r="EF300" s="46"/>
      <c r="EG300" s="46"/>
      <c r="EH300" s="46"/>
      <c r="EI300" s="46"/>
      <c r="EJ300" s="46"/>
      <c r="EK300" s="46"/>
      <c r="EL300" s="46"/>
      <c r="EM300" s="46"/>
      <c r="EN300" s="46"/>
      <c r="EO300" s="46"/>
      <c r="EP300" s="46"/>
      <c r="EQ300" s="46"/>
      <c r="ER300" s="46"/>
      <c r="ES300" s="46"/>
      <c r="ET300" s="46"/>
      <c r="EU300" s="46"/>
      <c r="EV300" s="46"/>
      <c r="EW300" s="46"/>
      <c r="EX300" s="46"/>
      <c r="EY300" s="46"/>
      <c r="EZ300" s="46"/>
      <c r="FA300" s="46"/>
      <c r="FB300" s="46"/>
      <c r="FC300" s="46"/>
      <c r="FD300" s="46"/>
      <c r="FE300" s="46"/>
      <c r="FF300" s="46"/>
      <c r="FG300" s="46"/>
      <c r="FH300" s="46"/>
      <c r="FI300" s="46"/>
      <c r="FJ300" s="46"/>
      <c r="FK300" s="46"/>
      <c r="FL300" s="46"/>
      <c r="FM300" s="46"/>
      <c r="FN300" s="46"/>
      <c r="FO300" s="46"/>
      <c r="FP300" s="46"/>
      <c r="FQ300" s="46"/>
      <c r="FR300" s="46"/>
      <c r="FS300" s="46"/>
      <c r="FT300" s="46"/>
      <c r="FU300" s="46"/>
      <c r="FV300" s="46"/>
      <c r="FW300" s="46"/>
      <c r="FX300" s="46"/>
      <c r="FY300" s="46"/>
      <c r="FZ300" s="46"/>
      <c r="GA300" s="46"/>
      <c r="GB300" s="46"/>
      <c r="GC300" s="46"/>
      <c r="GD300" s="46"/>
      <c r="GE300" s="46"/>
      <c r="GF300" s="46"/>
      <c r="GG300" s="46"/>
      <c r="GH300" s="46"/>
      <c r="GI300" s="46"/>
      <c r="GJ300" s="46"/>
      <c r="GK300" s="46"/>
      <c r="GL300" s="46"/>
      <c r="GM300" s="46"/>
      <c r="GN300" s="46"/>
      <c r="GO300" s="46"/>
      <c r="GP300" s="46"/>
    </row>
    <row r="301" spans="1:198" ht="15" x14ac:dyDescent="0.2">
      <c r="A301" s="115" t="s">
        <v>34</v>
      </c>
      <c r="B301" s="68" t="s">
        <v>172</v>
      </c>
      <c r="C301" s="63">
        <v>6191.03</v>
      </c>
      <c r="D301" s="62">
        <v>97040.680632000003</v>
      </c>
      <c r="E301" s="16">
        <f>294883.3-9838.14</f>
        <v>285045.15999999997</v>
      </c>
      <c r="F301" s="31"/>
      <c r="G301" s="46"/>
      <c r="H301" s="47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46"/>
      <c r="DP301" s="46"/>
      <c r="DQ301" s="46"/>
      <c r="DR301" s="46"/>
      <c r="DS301" s="46"/>
      <c r="DT301" s="46"/>
      <c r="DU301" s="46"/>
      <c r="DV301" s="46"/>
      <c r="DW301" s="46"/>
      <c r="DX301" s="46"/>
      <c r="DY301" s="46"/>
      <c r="DZ301" s="46"/>
      <c r="EA301" s="46"/>
      <c r="EB301" s="46"/>
      <c r="EC301" s="46"/>
      <c r="ED301" s="46"/>
      <c r="EE301" s="46"/>
      <c r="EF301" s="46"/>
      <c r="EG301" s="46"/>
      <c r="EH301" s="46"/>
      <c r="EI301" s="46"/>
      <c r="EJ301" s="46"/>
      <c r="EK301" s="46"/>
      <c r="EL301" s="46"/>
      <c r="EM301" s="46"/>
      <c r="EN301" s="46"/>
      <c r="EO301" s="46"/>
      <c r="EP301" s="46"/>
      <c r="EQ301" s="46"/>
      <c r="ER301" s="46"/>
      <c r="ES301" s="46"/>
      <c r="ET301" s="46"/>
      <c r="EU301" s="46"/>
      <c r="EV301" s="46"/>
      <c r="EW301" s="46"/>
      <c r="EX301" s="46"/>
      <c r="EY301" s="46"/>
      <c r="EZ301" s="46"/>
      <c r="FA301" s="46"/>
      <c r="FB301" s="46"/>
      <c r="FC301" s="46"/>
      <c r="FD301" s="46"/>
      <c r="FE301" s="46"/>
      <c r="FF301" s="46"/>
      <c r="FG301" s="46"/>
      <c r="FH301" s="46"/>
      <c r="FI301" s="46"/>
      <c r="FJ301" s="46"/>
      <c r="FK301" s="46"/>
      <c r="FL301" s="46"/>
      <c r="FM301" s="46"/>
      <c r="FN301" s="46"/>
      <c r="FO301" s="46"/>
      <c r="FP301" s="46"/>
      <c r="FQ301" s="46"/>
      <c r="FR301" s="46"/>
      <c r="FS301" s="46"/>
      <c r="FT301" s="46"/>
      <c r="FU301" s="46"/>
      <c r="FV301" s="46"/>
      <c r="FW301" s="46"/>
      <c r="FX301" s="46"/>
      <c r="FY301" s="46"/>
      <c r="FZ301" s="46"/>
      <c r="GA301" s="46"/>
      <c r="GB301" s="46"/>
      <c r="GC301" s="46"/>
      <c r="GD301" s="46"/>
      <c r="GE301" s="46"/>
      <c r="GF301" s="46"/>
      <c r="GG301" s="46"/>
      <c r="GH301" s="46"/>
      <c r="GI301" s="46"/>
      <c r="GJ301" s="46"/>
      <c r="GK301" s="46"/>
      <c r="GL301" s="46"/>
      <c r="GM301" s="46"/>
      <c r="GN301" s="46"/>
      <c r="GO301" s="46"/>
      <c r="GP301" s="46"/>
    </row>
    <row r="302" spans="1:198" ht="15" x14ac:dyDescent="0.2">
      <c r="A302" s="115" t="s">
        <v>34</v>
      </c>
      <c r="B302" s="68" t="s">
        <v>97</v>
      </c>
      <c r="C302" s="63">
        <v>137608.04999999999</v>
      </c>
      <c r="D302" s="62">
        <v>17473470.188999999</v>
      </c>
      <c r="E302" s="16">
        <f>746229.34-24883.98</f>
        <v>721345.36</v>
      </c>
      <c r="F302" s="31"/>
      <c r="G302" s="46"/>
      <c r="H302" s="47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  <c r="EF302" s="46"/>
      <c r="EG302" s="46"/>
      <c r="EH302" s="46"/>
      <c r="EI302" s="46"/>
      <c r="EJ302" s="46"/>
      <c r="EK302" s="46"/>
      <c r="EL302" s="46"/>
      <c r="EM302" s="46"/>
      <c r="EN302" s="46"/>
      <c r="EO302" s="46"/>
      <c r="EP302" s="46"/>
      <c r="EQ302" s="46"/>
      <c r="ER302" s="46"/>
      <c r="ES302" s="46"/>
      <c r="ET302" s="46"/>
      <c r="EU302" s="46"/>
      <c r="EV302" s="46"/>
      <c r="EW302" s="46"/>
      <c r="EX302" s="46"/>
      <c r="EY302" s="46"/>
      <c r="EZ302" s="46"/>
      <c r="FA302" s="46"/>
      <c r="FB302" s="46"/>
      <c r="FC302" s="46"/>
      <c r="FD302" s="46"/>
      <c r="FE302" s="46"/>
      <c r="FF302" s="46"/>
      <c r="FG302" s="46"/>
      <c r="FH302" s="46"/>
      <c r="FI302" s="46"/>
      <c r="FJ302" s="46"/>
      <c r="FK302" s="46"/>
      <c r="FL302" s="46"/>
      <c r="FM302" s="46"/>
      <c r="FN302" s="46"/>
      <c r="FO302" s="46"/>
      <c r="FP302" s="46"/>
      <c r="FQ302" s="46"/>
      <c r="FR302" s="46"/>
      <c r="FS302" s="46"/>
      <c r="FT302" s="46"/>
      <c r="FU302" s="46"/>
      <c r="FV302" s="46"/>
      <c r="FW302" s="46"/>
      <c r="FX302" s="46"/>
      <c r="FY302" s="46"/>
      <c r="FZ302" s="46"/>
      <c r="GA302" s="46"/>
      <c r="GB302" s="46"/>
      <c r="GC302" s="46"/>
      <c r="GD302" s="46"/>
      <c r="GE302" s="46"/>
      <c r="GF302" s="46"/>
      <c r="GG302" s="46"/>
      <c r="GH302" s="46"/>
      <c r="GI302" s="46"/>
      <c r="GJ302" s="46"/>
      <c r="GK302" s="46"/>
      <c r="GL302" s="46"/>
      <c r="GM302" s="46"/>
      <c r="GN302" s="46"/>
      <c r="GO302" s="46"/>
      <c r="GP302" s="46"/>
    </row>
    <row r="303" spans="1:198" ht="15" x14ac:dyDescent="0.2">
      <c r="A303" s="115" t="s">
        <v>34</v>
      </c>
      <c r="B303" s="68" t="s">
        <v>105</v>
      </c>
      <c r="C303" s="63">
        <v>348235.66</v>
      </c>
      <c r="D303" s="62">
        <v>33894821.494779997</v>
      </c>
      <c r="E303" s="16">
        <f>848311.93-28277.06</f>
        <v>820034.87</v>
      </c>
      <c r="F303" s="31"/>
      <c r="G303" s="46"/>
      <c r="H303" s="47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  <c r="EY303" s="46"/>
      <c r="EZ303" s="46"/>
      <c r="FA303" s="46"/>
      <c r="FB303" s="46"/>
      <c r="FC303" s="46"/>
      <c r="FD303" s="46"/>
      <c r="FE303" s="46"/>
      <c r="FF303" s="46"/>
      <c r="FG303" s="46"/>
      <c r="FH303" s="46"/>
      <c r="FI303" s="46"/>
      <c r="FJ303" s="46"/>
      <c r="FK303" s="46"/>
      <c r="FL303" s="46"/>
      <c r="FM303" s="46"/>
      <c r="FN303" s="46"/>
      <c r="FO303" s="46"/>
      <c r="FP303" s="46"/>
      <c r="FQ303" s="46"/>
      <c r="FR303" s="46"/>
      <c r="FS303" s="46"/>
      <c r="FT303" s="46"/>
      <c r="FU303" s="46"/>
      <c r="FV303" s="46"/>
      <c r="FW303" s="46"/>
      <c r="FX303" s="46"/>
      <c r="FY303" s="46"/>
      <c r="FZ303" s="46"/>
      <c r="GA303" s="46"/>
      <c r="GB303" s="46"/>
      <c r="GC303" s="46"/>
      <c r="GD303" s="46"/>
      <c r="GE303" s="46"/>
      <c r="GF303" s="46"/>
      <c r="GG303" s="46"/>
      <c r="GH303" s="46"/>
      <c r="GI303" s="46"/>
      <c r="GJ303" s="46"/>
      <c r="GK303" s="46"/>
      <c r="GL303" s="46"/>
      <c r="GM303" s="46"/>
      <c r="GN303" s="46"/>
      <c r="GO303" s="46"/>
      <c r="GP303" s="46"/>
    </row>
    <row r="304" spans="1:198" ht="15" x14ac:dyDescent="0.2">
      <c r="A304" s="115" t="s">
        <v>34</v>
      </c>
      <c r="B304" s="68" t="s">
        <v>20</v>
      </c>
      <c r="C304" s="63">
        <v>395878.97</v>
      </c>
      <c r="D304" s="62">
        <v>6710148.5414999994</v>
      </c>
      <c r="E304" s="16">
        <f>818548.91-27284.96</f>
        <v>791263.95000000007</v>
      </c>
      <c r="F304" s="31"/>
      <c r="G304" s="46"/>
      <c r="H304" s="47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  <c r="EY304" s="46"/>
      <c r="EZ304" s="46"/>
      <c r="FA304" s="46"/>
      <c r="FB304" s="46"/>
      <c r="FC304" s="46"/>
      <c r="FD304" s="46"/>
      <c r="FE304" s="46"/>
      <c r="FF304" s="46"/>
      <c r="FG304" s="46"/>
      <c r="FH304" s="46"/>
      <c r="FI304" s="46"/>
      <c r="FJ304" s="46"/>
      <c r="FK304" s="46"/>
      <c r="FL304" s="46"/>
      <c r="FM304" s="46"/>
      <c r="FN304" s="46"/>
      <c r="FO304" s="46"/>
      <c r="FP304" s="46"/>
      <c r="FQ304" s="46"/>
      <c r="FR304" s="46"/>
      <c r="FS304" s="46"/>
      <c r="FT304" s="46"/>
      <c r="FU304" s="46"/>
      <c r="FV304" s="46"/>
      <c r="FW304" s="46"/>
      <c r="FX304" s="46"/>
      <c r="FY304" s="46"/>
      <c r="FZ304" s="46"/>
      <c r="GA304" s="46"/>
      <c r="GB304" s="46"/>
      <c r="GC304" s="46"/>
      <c r="GD304" s="46"/>
      <c r="GE304" s="46"/>
      <c r="GF304" s="46"/>
      <c r="GG304" s="46"/>
      <c r="GH304" s="46"/>
      <c r="GI304" s="46"/>
      <c r="GJ304" s="46"/>
      <c r="GK304" s="46"/>
      <c r="GL304" s="46"/>
      <c r="GM304" s="46"/>
      <c r="GN304" s="46"/>
      <c r="GO304" s="46"/>
      <c r="GP304" s="46"/>
    </row>
    <row r="305" spans="1:198" ht="15" x14ac:dyDescent="0.2">
      <c r="A305" s="115" t="s">
        <v>35</v>
      </c>
      <c r="B305" s="68" t="s">
        <v>74</v>
      </c>
      <c r="C305" s="63">
        <v>756274</v>
      </c>
      <c r="D305" s="62">
        <v>74787935.859999999</v>
      </c>
      <c r="E305" s="16">
        <f>2830138.55-88441.83</f>
        <v>2741696.7199999997</v>
      </c>
      <c r="F305" s="31"/>
      <c r="G305" s="46"/>
      <c r="H305" s="47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46"/>
      <c r="DP305" s="46"/>
      <c r="DQ305" s="46"/>
      <c r="DR305" s="46"/>
      <c r="DS305" s="46"/>
      <c r="DT305" s="46"/>
      <c r="DU305" s="46"/>
      <c r="DV305" s="46"/>
      <c r="DW305" s="46"/>
      <c r="DX305" s="46"/>
      <c r="DY305" s="46"/>
      <c r="DZ305" s="46"/>
      <c r="EA305" s="46"/>
      <c r="EB305" s="46"/>
      <c r="EC305" s="46"/>
      <c r="ED305" s="46"/>
      <c r="EE305" s="46"/>
      <c r="EF305" s="46"/>
      <c r="EG305" s="46"/>
      <c r="EH305" s="46"/>
      <c r="EI305" s="46"/>
      <c r="EJ305" s="46"/>
      <c r="EK305" s="46"/>
      <c r="EL305" s="46"/>
      <c r="EM305" s="46"/>
      <c r="EN305" s="46"/>
      <c r="EO305" s="46"/>
      <c r="EP305" s="46"/>
      <c r="EQ305" s="46"/>
      <c r="ER305" s="46"/>
      <c r="ES305" s="46"/>
      <c r="ET305" s="46"/>
      <c r="EU305" s="46"/>
      <c r="EV305" s="46"/>
      <c r="EW305" s="46"/>
      <c r="EX305" s="46"/>
      <c r="EY305" s="46"/>
      <c r="EZ305" s="46"/>
      <c r="FA305" s="46"/>
      <c r="FB305" s="46"/>
      <c r="FC305" s="46"/>
      <c r="FD305" s="46"/>
      <c r="FE305" s="46"/>
      <c r="FF305" s="46"/>
      <c r="FG305" s="46"/>
      <c r="FH305" s="46"/>
      <c r="FI305" s="46"/>
      <c r="FJ305" s="46"/>
      <c r="FK305" s="46"/>
      <c r="FL305" s="46"/>
      <c r="FM305" s="46"/>
      <c r="FN305" s="46"/>
      <c r="FO305" s="46"/>
      <c r="FP305" s="46"/>
      <c r="FQ305" s="46"/>
      <c r="FR305" s="46"/>
      <c r="FS305" s="46"/>
      <c r="FT305" s="46"/>
      <c r="FU305" s="46"/>
      <c r="FV305" s="46"/>
      <c r="FW305" s="46"/>
      <c r="FX305" s="46"/>
      <c r="FY305" s="46"/>
      <c r="FZ305" s="46"/>
      <c r="GA305" s="46"/>
      <c r="GB305" s="46"/>
      <c r="GC305" s="46"/>
      <c r="GD305" s="46"/>
      <c r="GE305" s="46"/>
      <c r="GF305" s="46"/>
      <c r="GG305" s="46"/>
      <c r="GH305" s="46"/>
      <c r="GI305" s="46"/>
      <c r="GJ305" s="46"/>
      <c r="GK305" s="46"/>
      <c r="GL305" s="46"/>
      <c r="GM305" s="46"/>
      <c r="GN305" s="46"/>
      <c r="GO305" s="46"/>
      <c r="GP305" s="46"/>
    </row>
    <row r="306" spans="1:198" ht="15" x14ac:dyDescent="0.2">
      <c r="A306" s="115" t="s">
        <v>35</v>
      </c>
      <c r="B306" s="68" t="s">
        <v>172</v>
      </c>
      <c r="C306" s="63">
        <v>1354.54</v>
      </c>
      <c r="D306" s="62">
        <v>21231.601776</v>
      </c>
      <c r="E306" s="16">
        <f>8142349-254448</f>
        <v>7887901</v>
      </c>
      <c r="F306" s="31"/>
      <c r="G306" s="46"/>
      <c r="H306" s="47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46"/>
      <c r="DP306" s="46"/>
      <c r="DQ306" s="46"/>
      <c r="DR306" s="46"/>
      <c r="DS306" s="46"/>
      <c r="DT306" s="46"/>
      <c r="DU306" s="46"/>
      <c r="DV306" s="46"/>
      <c r="DW306" s="46"/>
      <c r="DX306" s="46"/>
      <c r="DY306" s="46"/>
      <c r="DZ306" s="46"/>
      <c r="EA306" s="46"/>
      <c r="EB306" s="46"/>
      <c r="EC306" s="46"/>
      <c r="ED306" s="46"/>
      <c r="EE306" s="46"/>
      <c r="EF306" s="46"/>
      <c r="EG306" s="46"/>
      <c r="EH306" s="46"/>
      <c r="EI306" s="46"/>
      <c r="EJ306" s="46"/>
      <c r="EK306" s="46"/>
      <c r="EL306" s="46"/>
      <c r="EM306" s="46"/>
      <c r="EN306" s="46"/>
      <c r="EO306" s="46"/>
      <c r="EP306" s="46"/>
      <c r="EQ306" s="46"/>
      <c r="ER306" s="46"/>
      <c r="ES306" s="46"/>
      <c r="ET306" s="46"/>
      <c r="EU306" s="46"/>
      <c r="EV306" s="46"/>
      <c r="EW306" s="46"/>
      <c r="EX306" s="46"/>
      <c r="EY306" s="46"/>
      <c r="EZ306" s="46"/>
      <c r="FA306" s="46"/>
      <c r="FB306" s="46"/>
      <c r="FC306" s="46"/>
      <c r="FD306" s="46"/>
      <c r="FE306" s="46"/>
      <c r="FF306" s="46"/>
      <c r="FG306" s="46"/>
      <c r="FH306" s="46"/>
      <c r="FI306" s="46"/>
      <c r="FJ306" s="46"/>
      <c r="FK306" s="46"/>
      <c r="FL306" s="46"/>
      <c r="FM306" s="46"/>
      <c r="FN306" s="46"/>
      <c r="FO306" s="46"/>
      <c r="FP306" s="46"/>
      <c r="FQ306" s="46"/>
      <c r="FR306" s="46"/>
      <c r="FS306" s="46"/>
      <c r="FT306" s="46"/>
      <c r="FU306" s="46"/>
      <c r="FV306" s="46"/>
      <c r="FW306" s="46"/>
      <c r="FX306" s="46"/>
      <c r="FY306" s="46"/>
      <c r="FZ306" s="46"/>
      <c r="GA306" s="46"/>
      <c r="GB306" s="46"/>
      <c r="GC306" s="46"/>
      <c r="GD306" s="46"/>
      <c r="GE306" s="46"/>
      <c r="GF306" s="46"/>
      <c r="GG306" s="46"/>
      <c r="GH306" s="46"/>
      <c r="GI306" s="46"/>
      <c r="GJ306" s="46"/>
      <c r="GK306" s="46"/>
      <c r="GL306" s="46"/>
      <c r="GM306" s="46"/>
      <c r="GN306" s="46"/>
      <c r="GO306" s="46"/>
      <c r="GP306" s="46"/>
    </row>
    <row r="307" spans="1:198" ht="15" x14ac:dyDescent="0.2">
      <c r="A307" s="115" t="s">
        <v>35</v>
      </c>
      <c r="B307" s="68" t="s">
        <v>27</v>
      </c>
      <c r="C307" s="63">
        <v>4071181</v>
      </c>
      <c r="D307" s="62">
        <v>4282882.4120000005</v>
      </c>
      <c r="E307" s="16">
        <f>25146.68-794.55</f>
        <v>24352.13</v>
      </c>
      <c r="F307" s="31"/>
      <c r="G307" s="46"/>
      <c r="H307" s="47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46"/>
      <c r="DP307" s="46"/>
      <c r="DQ307" s="46"/>
      <c r="DR307" s="46"/>
      <c r="DS307" s="46"/>
      <c r="DT307" s="46"/>
      <c r="DU307" s="46"/>
      <c r="DV307" s="46"/>
      <c r="DW307" s="46"/>
      <c r="DX307" s="46"/>
      <c r="DY307" s="46"/>
      <c r="DZ307" s="46"/>
      <c r="EA307" s="46"/>
      <c r="EB307" s="46"/>
      <c r="EC307" s="46"/>
      <c r="ED307" s="46"/>
      <c r="EE307" s="46"/>
      <c r="EF307" s="46"/>
      <c r="EG307" s="46"/>
      <c r="EH307" s="46"/>
      <c r="EI307" s="46"/>
      <c r="EJ307" s="46"/>
      <c r="EK307" s="46"/>
      <c r="EL307" s="46"/>
      <c r="EM307" s="46"/>
      <c r="EN307" s="46"/>
      <c r="EO307" s="46"/>
      <c r="EP307" s="46"/>
      <c r="EQ307" s="46"/>
      <c r="ER307" s="46"/>
      <c r="ES307" s="46"/>
      <c r="ET307" s="46"/>
      <c r="EU307" s="46"/>
      <c r="EV307" s="46"/>
      <c r="EW307" s="46"/>
      <c r="EX307" s="46"/>
      <c r="EY307" s="46"/>
      <c r="EZ307" s="46"/>
      <c r="FA307" s="46"/>
      <c r="FB307" s="46"/>
      <c r="FC307" s="46"/>
      <c r="FD307" s="46"/>
      <c r="FE307" s="46"/>
      <c r="FF307" s="46"/>
      <c r="FG307" s="46"/>
      <c r="FH307" s="46"/>
      <c r="FI307" s="46"/>
      <c r="FJ307" s="46"/>
      <c r="FK307" s="46"/>
      <c r="FL307" s="46"/>
      <c r="FM307" s="46"/>
      <c r="FN307" s="46"/>
      <c r="FO307" s="46"/>
      <c r="FP307" s="46"/>
      <c r="FQ307" s="46"/>
      <c r="FR307" s="46"/>
      <c r="FS307" s="46"/>
      <c r="FT307" s="46"/>
      <c r="FU307" s="46"/>
      <c r="FV307" s="46"/>
      <c r="FW307" s="46"/>
      <c r="FX307" s="46"/>
      <c r="FY307" s="46"/>
      <c r="FZ307" s="46"/>
      <c r="GA307" s="46"/>
      <c r="GB307" s="46"/>
      <c r="GC307" s="46"/>
      <c r="GD307" s="46"/>
      <c r="GE307" s="46"/>
      <c r="GF307" s="46"/>
      <c r="GG307" s="46"/>
      <c r="GH307" s="46"/>
      <c r="GI307" s="46"/>
      <c r="GJ307" s="46"/>
      <c r="GK307" s="46"/>
      <c r="GL307" s="46"/>
      <c r="GM307" s="46"/>
      <c r="GN307" s="46"/>
      <c r="GO307" s="46"/>
      <c r="GP307" s="46"/>
    </row>
    <row r="308" spans="1:198" ht="15" x14ac:dyDescent="0.2">
      <c r="A308" s="115" t="s">
        <v>35</v>
      </c>
      <c r="B308" s="68" t="s">
        <v>97</v>
      </c>
      <c r="C308" s="63">
        <v>12569</v>
      </c>
      <c r="D308" s="62">
        <v>1596011.62</v>
      </c>
      <c r="E308" s="16">
        <f>77438.96-2429.66</f>
        <v>75009.3</v>
      </c>
      <c r="F308" s="31"/>
      <c r="G308" s="46"/>
      <c r="H308" s="47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  <c r="EF308" s="46"/>
      <c r="EG308" s="46"/>
      <c r="EH308" s="46"/>
      <c r="EI308" s="46"/>
      <c r="EJ308" s="46"/>
      <c r="EK308" s="46"/>
      <c r="EL308" s="46"/>
      <c r="EM308" s="46"/>
      <c r="EN308" s="46"/>
      <c r="EO308" s="46"/>
      <c r="EP308" s="46"/>
      <c r="EQ308" s="46"/>
      <c r="ER308" s="46"/>
      <c r="ES308" s="46"/>
      <c r="ET308" s="46"/>
      <c r="EU308" s="46"/>
      <c r="EV308" s="46"/>
      <c r="EW308" s="46"/>
      <c r="EX308" s="46"/>
      <c r="EY308" s="46"/>
      <c r="EZ308" s="46"/>
      <c r="FA308" s="46"/>
      <c r="FB308" s="46"/>
      <c r="FC308" s="46"/>
      <c r="FD308" s="46"/>
      <c r="FE308" s="46"/>
      <c r="FF308" s="46"/>
      <c r="FG308" s="46"/>
      <c r="FH308" s="46"/>
      <c r="FI308" s="46"/>
      <c r="FJ308" s="46"/>
      <c r="FK308" s="46"/>
      <c r="FL308" s="46"/>
      <c r="FM308" s="46"/>
      <c r="FN308" s="46"/>
      <c r="FO308" s="46"/>
      <c r="FP308" s="46"/>
      <c r="FQ308" s="46"/>
      <c r="FR308" s="46"/>
      <c r="FS308" s="46"/>
      <c r="FT308" s="46"/>
      <c r="FU308" s="46"/>
      <c r="FV308" s="46"/>
      <c r="FW308" s="46"/>
      <c r="FX308" s="46"/>
      <c r="FY308" s="46"/>
      <c r="FZ308" s="46"/>
      <c r="GA308" s="46"/>
      <c r="GB308" s="46"/>
      <c r="GC308" s="46"/>
      <c r="GD308" s="46"/>
      <c r="GE308" s="46"/>
      <c r="GF308" s="46"/>
      <c r="GG308" s="46"/>
      <c r="GH308" s="46"/>
      <c r="GI308" s="46"/>
      <c r="GJ308" s="46"/>
      <c r="GK308" s="46"/>
      <c r="GL308" s="46"/>
      <c r="GM308" s="46"/>
      <c r="GN308" s="46"/>
      <c r="GO308" s="46"/>
      <c r="GP308" s="46"/>
    </row>
    <row r="309" spans="1:198" ht="15" x14ac:dyDescent="0.2">
      <c r="A309" s="115" t="s">
        <v>35</v>
      </c>
      <c r="B309" s="68" t="s">
        <v>105</v>
      </c>
      <c r="C309" s="63">
        <v>38714.400000000001</v>
      </c>
      <c r="D309" s="62">
        <v>3768188.6952</v>
      </c>
      <c r="E309" s="16">
        <f>1181474.78-32818.74</f>
        <v>1148656.04</v>
      </c>
      <c r="F309" s="31">
        <v>2051006043</v>
      </c>
      <c r="G309" s="46"/>
      <c r="H309" s="47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46"/>
      <c r="DP309" s="46"/>
      <c r="DQ309" s="46"/>
      <c r="DR309" s="46"/>
      <c r="DS309" s="46"/>
      <c r="DT309" s="46"/>
      <c r="DU309" s="46"/>
      <c r="DV309" s="46"/>
      <c r="DW309" s="46"/>
      <c r="DX309" s="46"/>
      <c r="DY309" s="46"/>
      <c r="DZ309" s="46"/>
      <c r="EA309" s="46"/>
      <c r="EB309" s="46"/>
      <c r="EC309" s="46"/>
      <c r="ED309" s="46"/>
      <c r="EE309" s="46"/>
      <c r="EF309" s="46"/>
      <c r="EG309" s="46"/>
      <c r="EH309" s="46"/>
      <c r="EI309" s="46"/>
      <c r="EJ309" s="46"/>
      <c r="EK309" s="46"/>
      <c r="EL309" s="46"/>
      <c r="EM309" s="46"/>
      <c r="EN309" s="46"/>
      <c r="EO309" s="46"/>
      <c r="EP309" s="46"/>
      <c r="EQ309" s="46"/>
      <c r="ER309" s="46"/>
      <c r="ES309" s="46"/>
      <c r="ET309" s="46"/>
      <c r="EU309" s="46"/>
      <c r="EV309" s="46"/>
      <c r="EW309" s="46"/>
      <c r="EX309" s="46"/>
      <c r="EY309" s="46"/>
      <c r="EZ309" s="46"/>
      <c r="FA309" s="46"/>
      <c r="FB309" s="46"/>
      <c r="FC309" s="46"/>
      <c r="FD309" s="46"/>
      <c r="FE309" s="46"/>
      <c r="FF309" s="46"/>
      <c r="FG309" s="46"/>
      <c r="FH309" s="46"/>
      <c r="FI309" s="46"/>
      <c r="FJ309" s="46"/>
      <c r="FK309" s="46"/>
      <c r="FL309" s="46"/>
      <c r="FM309" s="46"/>
      <c r="FN309" s="46"/>
      <c r="FO309" s="46"/>
      <c r="FP309" s="46"/>
      <c r="FQ309" s="46"/>
      <c r="FR309" s="46"/>
      <c r="FS309" s="46"/>
      <c r="FT309" s="46"/>
      <c r="FU309" s="46"/>
      <c r="FV309" s="46"/>
      <c r="FW309" s="46"/>
      <c r="FX309" s="46"/>
      <c r="FY309" s="46"/>
      <c r="FZ309" s="46"/>
      <c r="GA309" s="46"/>
      <c r="GB309" s="46"/>
      <c r="GC309" s="46"/>
      <c r="GD309" s="46"/>
      <c r="GE309" s="46"/>
      <c r="GF309" s="46"/>
      <c r="GG309" s="46"/>
      <c r="GH309" s="46"/>
      <c r="GI309" s="46"/>
      <c r="GJ309" s="46"/>
      <c r="GK309" s="46"/>
      <c r="GL309" s="46"/>
      <c r="GM309" s="46"/>
      <c r="GN309" s="46"/>
      <c r="GO309" s="46"/>
      <c r="GP309" s="46"/>
    </row>
    <row r="310" spans="1:198" ht="15" x14ac:dyDescent="0.2">
      <c r="A310" s="115" t="s">
        <v>132</v>
      </c>
      <c r="B310" s="68" t="s">
        <v>74</v>
      </c>
      <c r="C310" s="184">
        <v>3126243.9</v>
      </c>
      <c r="D310" s="62">
        <v>309154259.27099997</v>
      </c>
      <c r="E310" s="16"/>
      <c r="F310" s="31"/>
      <c r="G310" s="46"/>
      <c r="H310" s="47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  <c r="EF310" s="46"/>
      <c r="EG310" s="46"/>
      <c r="EH310" s="46"/>
      <c r="EI310" s="46"/>
      <c r="EJ310" s="46"/>
      <c r="EK310" s="46"/>
      <c r="EL310" s="46"/>
      <c r="EM310" s="46"/>
      <c r="EN310" s="46"/>
      <c r="EO310" s="46"/>
      <c r="EP310" s="46"/>
      <c r="EQ310" s="46"/>
      <c r="ER310" s="46"/>
      <c r="ES310" s="46"/>
      <c r="ET310" s="46"/>
      <c r="EU310" s="46"/>
      <c r="EV310" s="46"/>
      <c r="EW310" s="46"/>
      <c r="EX310" s="46"/>
      <c r="EY310" s="46"/>
      <c r="EZ310" s="46"/>
      <c r="FA310" s="46"/>
      <c r="FB310" s="46"/>
      <c r="FC310" s="46"/>
      <c r="FD310" s="46"/>
      <c r="FE310" s="46"/>
      <c r="FF310" s="46"/>
      <c r="FG310" s="46"/>
      <c r="FH310" s="46"/>
      <c r="FI310" s="46"/>
      <c r="FJ310" s="46"/>
      <c r="FK310" s="46"/>
      <c r="FL310" s="46"/>
      <c r="FM310" s="46"/>
      <c r="FN310" s="46"/>
      <c r="FO310" s="46"/>
      <c r="FP310" s="46"/>
      <c r="FQ310" s="46"/>
      <c r="FR310" s="46"/>
      <c r="FS310" s="46"/>
      <c r="FT310" s="46"/>
      <c r="FU310" s="46"/>
      <c r="FV310" s="46"/>
      <c r="FW310" s="46"/>
      <c r="FX310" s="46"/>
      <c r="FY310" s="46"/>
      <c r="FZ310" s="46"/>
      <c r="GA310" s="46"/>
      <c r="GB310" s="46"/>
      <c r="GC310" s="46"/>
      <c r="GD310" s="46"/>
      <c r="GE310" s="46"/>
      <c r="GF310" s="46"/>
      <c r="GG310" s="46"/>
      <c r="GH310" s="46"/>
      <c r="GI310" s="46"/>
      <c r="GJ310" s="46"/>
      <c r="GK310" s="46"/>
      <c r="GL310" s="46"/>
      <c r="GM310" s="46"/>
      <c r="GN310" s="46"/>
      <c r="GO310" s="46"/>
      <c r="GP310" s="46"/>
    </row>
    <row r="311" spans="1:198" ht="15" x14ac:dyDescent="0.2">
      <c r="A311" s="115" t="s">
        <v>132</v>
      </c>
      <c r="B311" s="68" t="s">
        <v>74</v>
      </c>
      <c r="C311" s="63">
        <v>656374.93999999994</v>
      </c>
      <c r="D311" s="62">
        <v>64908917.816599995</v>
      </c>
      <c r="E311" s="16">
        <f>4986061.14-262424.27</f>
        <v>4723636.8699999992</v>
      </c>
      <c r="F311" s="31">
        <v>2051006050</v>
      </c>
      <c r="G311" s="46"/>
      <c r="H311" s="47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46"/>
      <c r="DP311" s="46"/>
      <c r="DQ311" s="46"/>
      <c r="DR311" s="46"/>
      <c r="DS311" s="46"/>
      <c r="DT311" s="46"/>
      <c r="DU311" s="46"/>
      <c r="DV311" s="46"/>
      <c r="DW311" s="46"/>
      <c r="DX311" s="46"/>
      <c r="DY311" s="46"/>
      <c r="DZ311" s="46"/>
      <c r="EA311" s="46"/>
      <c r="EB311" s="46"/>
      <c r="EC311" s="46"/>
      <c r="ED311" s="46"/>
      <c r="EE311" s="46"/>
      <c r="EF311" s="46"/>
      <c r="EG311" s="46"/>
      <c r="EH311" s="46"/>
      <c r="EI311" s="46"/>
      <c r="EJ311" s="46"/>
      <c r="EK311" s="46"/>
      <c r="EL311" s="46"/>
      <c r="EM311" s="46"/>
      <c r="EN311" s="46"/>
      <c r="EO311" s="46"/>
      <c r="EP311" s="46"/>
      <c r="EQ311" s="46"/>
      <c r="ER311" s="46"/>
      <c r="ES311" s="46"/>
      <c r="ET311" s="46"/>
      <c r="EU311" s="46"/>
      <c r="EV311" s="46"/>
      <c r="EW311" s="46"/>
      <c r="EX311" s="46"/>
      <c r="EY311" s="46"/>
      <c r="EZ311" s="46"/>
      <c r="FA311" s="46"/>
      <c r="FB311" s="46"/>
      <c r="FC311" s="46"/>
      <c r="FD311" s="46"/>
      <c r="FE311" s="46"/>
      <c r="FF311" s="46"/>
      <c r="FG311" s="46"/>
      <c r="FH311" s="46"/>
      <c r="FI311" s="46"/>
      <c r="FJ311" s="46"/>
      <c r="FK311" s="46"/>
      <c r="FL311" s="46"/>
      <c r="FM311" s="46"/>
      <c r="FN311" s="46"/>
      <c r="FO311" s="46"/>
      <c r="FP311" s="46"/>
      <c r="FQ311" s="46"/>
      <c r="FR311" s="46"/>
      <c r="FS311" s="46"/>
      <c r="FT311" s="46"/>
      <c r="FU311" s="46"/>
      <c r="FV311" s="46"/>
      <c r="FW311" s="46"/>
      <c r="FX311" s="46"/>
      <c r="FY311" s="46"/>
      <c r="FZ311" s="46"/>
      <c r="GA311" s="46"/>
      <c r="GB311" s="46"/>
      <c r="GC311" s="46"/>
      <c r="GD311" s="46"/>
      <c r="GE311" s="46"/>
      <c r="GF311" s="46"/>
      <c r="GG311" s="46"/>
      <c r="GH311" s="46"/>
      <c r="GI311" s="46"/>
      <c r="GJ311" s="46"/>
      <c r="GK311" s="46"/>
      <c r="GL311" s="46"/>
      <c r="GM311" s="46"/>
      <c r="GN311" s="46"/>
      <c r="GO311" s="46"/>
      <c r="GP311" s="46"/>
    </row>
    <row r="312" spans="1:198" ht="15" x14ac:dyDescent="0.2">
      <c r="A312" s="115" t="s">
        <v>128</v>
      </c>
      <c r="B312" s="68" t="s">
        <v>74</v>
      </c>
      <c r="C312" s="63">
        <v>1049545.8600000001</v>
      </c>
      <c r="D312" s="62">
        <v>103789590.09540001</v>
      </c>
      <c r="E312" s="16">
        <f>20542742.31-978225.82</f>
        <v>19564516.489999998</v>
      </c>
      <c r="F312" s="31">
        <v>2051006052</v>
      </c>
      <c r="G312" s="46"/>
      <c r="H312" s="47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A312" s="46"/>
      <c r="DB312" s="46"/>
      <c r="DC312" s="46"/>
      <c r="DD312" s="46"/>
      <c r="DE312" s="46"/>
      <c r="DF312" s="46"/>
      <c r="DG312" s="46"/>
      <c r="DH312" s="46"/>
      <c r="DI312" s="46"/>
      <c r="DJ312" s="46"/>
      <c r="DK312" s="46"/>
      <c r="DL312" s="46"/>
      <c r="DM312" s="46"/>
      <c r="DN312" s="46"/>
      <c r="DO312" s="46"/>
      <c r="DP312" s="46"/>
      <c r="DQ312" s="46"/>
      <c r="DR312" s="46"/>
      <c r="DS312" s="46"/>
      <c r="DT312" s="46"/>
      <c r="DU312" s="46"/>
      <c r="DV312" s="46"/>
      <c r="DW312" s="46"/>
      <c r="DX312" s="46"/>
      <c r="DY312" s="46"/>
      <c r="DZ312" s="46"/>
      <c r="EA312" s="46"/>
      <c r="EB312" s="46"/>
      <c r="EC312" s="46"/>
      <c r="ED312" s="46"/>
      <c r="EE312" s="46"/>
      <c r="EF312" s="46"/>
      <c r="EG312" s="46"/>
      <c r="EH312" s="46"/>
      <c r="EI312" s="46"/>
      <c r="EJ312" s="46"/>
      <c r="EK312" s="46"/>
      <c r="EL312" s="46"/>
      <c r="EM312" s="46"/>
      <c r="EN312" s="46"/>
      <c r="EO312" s="46"/>
      <c r="EP312" s="46"/>
      <c r="EQ312" s="46"/>
      <c r="ER312" s="46"/>
      <c r="ES312" s="46"/>
      <c r="ET312" s="46"/>
      <c r="EU312" s="46"/>
      <c r="EV312" s="46"/>
      <c r="EW312" s="46"/>
      <c r="EX312" s="46"/>
      <c r="EY312" s="46"/>
      <c r="EZ312" s="46"/>
      <c r="FA312" s="46"/>
      <c r="FB312" s="46"/>
      <c r="FC312" s="46"/>
      <c r="FD312" s="46"/>
      <c r="FE312" s="46"/>
      <c r="FF312" s="46"/>
      <c r="FG312" s="46"/>
      <c r="FH312" s="46"/>
      <c r="FI312" s="46"/>
      <c r="FJ312" s="46"/>
      <c r="FK312" s="46"/>
      <c r="FL312" s="46"/>
      <c r="FM312" s="46"/>
      <c r="FN312" s="46"/>
      <c r="FO312" s="46"/>
      <c r="FP312" s="46"/>
      <c r="FQ312" s="46"/>
      <c r="FR312" s="46"/>
      <c r="FS312" s="46"/>
      <c r="FT312" s="46"/>
      <c r="FU312" s="46"/>
      <c r="FV312" s="46"/>
      <c r="FW312" s="46"/>
      <c r="FX312" s="46"/>
      <c r="FY312" s="46"/>
      <c r="FZ312" s="46"/>
      <c r="GA312" s="46"/>
      <c r="GB312" s="46"/>
      <c r="GC312" s="46"/>
      <c r="GD312" s="46"/>
      <c r="GE312" s="46"/>
      <c r="GF312" s="46"/>
      <c r="GG312" s="46"/>
      <c r="GH312" s="46"/>
      <c r="GI312" s="46"/>
      <c r="GJ312" s="46"/>
      <c r="GK312" s="46"/>
      <c r="GL312" s="46"/>
      <c r="GM312" s="46"/>
      <c r="GN312" s="46"/>
      <c r="GO312" s="46"/>
      <c r="GP312" s="46"/>
    </row>
    <row r="313" spans="1:198" ht="15" x14ac:dyDescent="0.2">
      <c r="A313" s="115" t="s">
        <v>42</v>
      </c>
      <c r="B313" s="68" t="s">
        <v>74</v>
      </c>
      <c r="C313" s="63">
        <v>5869354.9699999997</v>
      </c>
      <c r="D313" s="62">
        <v>580420512.98329997</v>
      </c>
      <c r="E313" s="16">
        <f>6835182.2-191505.13</f>
        <v>6643677.0700000003</v>
      </c>
      <c r="F313" s="32" t="s">
        <v>73</v>
      </c>
      <c r="G313" s="46"/>
      <c r="H313" s="47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A313" s="46"/>
      <c r="DB313" s="46"/>
      <c r="DC313" s="46"/>
      <c r="DD313" s="46"/>
      <c r="DE313" s="46"/>
      <c r="DF313" s="46"/>
      <c r="DG313" s="46"/>
      <c r="DH313" s="46"/>
      <c r="DI313" s="46"/>
      <c r="DJ313" s="46"/>
      <c r="DK313" s="46"/>
      <c r="DL313" s="46"/>
      <c r="DM313" s="46"/>
      <c r="DN313" s="46"/>
      <c r="DO313" s="46"/>
      <c r="DP313" s="46"/>
      <c r="DQ313" s="46"/>
      <c r="DR313" s="46"/>
      <c r="DS313" s="46"/>
      <c r="DT313" s="46"/>
      <c r="DU313" s="46"/>
      <c r="DV313" s="46"/>
      <c r="DW313" s="46"/>
      <c r="DX313" s="46"/>
      <c r="DY313" s="46"/>
      <c r="DZ313" s="46"/>
      <c r="EA313" s="46"/>
      <c r="EB313" s="46"/>
      <c r="EC313" s="46"/>
      <c r="ED313" s="46"/>
      <c r="EE313" s="46"/>
      <c r="EF313" s="46"/>
      <c r="EG313" s="46"/>
      <c r="EH313" s="46"/>
      <c r="EI313" s="46"/>
      <c r="EJ313" s="46"/>
      <c r="EK313" s="46"/>
      <c r="EL313" s="46"/>
      <c r="EM313" s="46"/>
      <c r="EN313" s="46"/>
      <c r="EO313" s="46"/>
      <c r="EP313" s="46"/>
      <c r="EQ313" s="46"/>
      <c r="ER313" s="46"/>
      <c r="ES313" s="46"/>
      <c r="ET313" s="46"/>
      <c r="EU313" s="46"/>
      <c r="EV313" s="46"/>
      <c r="EW313" s="46"/>
      <c r="EX313" s="46"/>
      <c r="EY313" s="46"/>
      <c r="EZ313" s="46"/>
      <c r="FA313" s="46"/>
      <c r="FB313" s="46"/>
      <c r="FC313" s="46"/>
      <c r="FD313" s="46"/>
      <c r="FE313" s="46"/>
      <c r="FF313" s="46"/>
      <c r="FG313" s="46"/>
      <c r="FH313" s="46"/>
      <c r="FI313" s="46"/>
      <c r="FJ313" s="46"/>
      <c r="FK313" s="46"/>
      <c r="FL313" s="46"/>
      <c r="FM313" s="46"/>
      <c r="FN313" s="46"/>
      <c r="FO313" s="46"/>
      <c r="FP313" s="46"/>
      <c r="FQ313" s="46"/>
      <c r="FR313" s="46"/>
      <c r="FS313" s="46"/>
      <c r="FT313" s="46"/>
      <c r="FU313" s="46"/>
      <c r="FV313" s="46"/>
      <c r="FW313" s="46"/>
      <c r="FX313" s="46"/>
      <c r="FY313" s="46"/>
      <c r="FZ313" s="46"/>
      <c r="GA313" s="46"/>
      <c r="GB313" s="46"/>
      <c r="GC313" s="46"/>
      <c r="GD313" s="46"/>
      <c r="GE313" s="46"/>
      <c r="GF313" s="46"/>
      <c r="GG313" s="46"/>
      <c r="GH313" s="46"/>
      <c r="GI313" s="46"/>
      <c r="GJ313" s="46"/>
      <c r="GK313" s="46"/>
      <c r="GL313" s="46"/>
      <c r="GM313" s="46"/>
      <c r="GN313" s="46"/>
      <c r="GO313" s="46"/>
      <c r="GP313" s="46"/>
    </row>
    <row r="314" spans="1:198" ht="15" x14ac:dyDescent="0.2">
      <c r="A314" s="115" t="s">
        <v>90</v>
      </c>
      <c r="B314" s="68" t="s">
        <v>74</v>
      </c>
      <c r="C314" s="63">
        <v>21304646.73</v>
      </c>
      <c r="D314" s="62">
        <v>2106816515.1296999</v>
      </c>
      <c r="E314" s="16">
        <f>20542742.31-978225.82-978225.82</f>
        <v>18586290.669999998</v>
      </c>
      <c r="F314" s="31"/>
      <c r="G314" s="46"/>
      <c r="H314" s="47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46"/>
      <c r="DP314" s="46"/>
      <c r="DQ314" s="46"/>
      <c r="DR314" s="46"/>
      <c r="DS314" s="46"/>
      <c r="DT314" s="46"/>
      <c r="DU314" s="46"/>
      <c r="DV314" s="46"/>
      <c r="DW314" s="46"/>
      <c r="DX314" s="46"/>
      <c r="DY314" s="46"/>
      <c r="DZ314" s="46"/>
      <c r="EA314" s="46"/>
      <c r="EB314" s="46"/>
      <c r="EC314" s="46"/>
      <c r="ED314" s="46"/>
      <c r="EE314" s="46"/>
      <c r="EF314" s="46"/>
      <c r="EG314" s="46"/>
      <c r="EH314" s="46"/>
      <c r="EI314" s="46"/>
      <c r="EJ314" s="46"/>
      <c r="EK314" s="46"/>
      <c r="EL314" s="46"/>
      <c r="EM314" s="46"/>
      <c r="EN314" s="46"/>
      <c r="EO314" s="46"/>
      <c r="EP314" s="46"/>
      <c r="EQ314" s="46"/>
      <c r="ER314" s="46"/>
      <c r="ES314" s="46"/>
      <c r="ET314" s="46"/>
      <c r="EU314" s="46"/>
      <c r="EV314" s="46"/>
      <c r="EW314" s="46"/>
      <c r="EX314" s="46"/>
      <c r="EY314" s="46"/>
      <c r="EZ314" s="46"/>
      <c r="FA314" s="46"/>
      <c r="FB314" s="46"/>
      <c r="FC314" s="46"/>
      <c r="FD314" s="46"/>
      <c r="FE314" s="46"/>
      <c r="FF314" s="46"/>
      <c r="FG314" s="46"/>
      <c r="FH314" s="46"/>
      <c r="FI314" s="46"/>
      <c r="FJ314" s="46"/>
      <c r="FK314" s="46"/>
      <c r="FL314" s="46"/>
      <c r="FM314" s="46"/>
      <c r="FN314" s="46"/>
      <c r="FO314" s="46"/>
      <c r="FP314" s="46"/>
      <c r="FQ314" s="46"/>
      <c r="FR314" s="46"/>
      <c r="FS314" s="46"/>
      <c r="FT314" s="46"/>
      <c r="FU314" s="46"/>
      <c r="FV314" s="46"/>
      <c r="FW314" s="46"/>
      <c r="FX314" s="46"/>
      <c r="FY314" s="46"/>
      <c r="FZ314" s="46"/>
      <c r="GA314" s="46"/>
      <c r="GB314" s="46"/>
      <c r="GC314" s="46"/>
      <c r="GD314" s="46"/>
      <c r="GE314" s="46"/>
      <c r="GF314" s="46"/>
      <c r="GG314" s="46"/>
      <c r="GH314" s="46"/>
      <c r="GI314" s="46"/>
      <c r="GJ314" s="46"/>
      <c r="GK314" s="46"/>
      <c r="GL314" s="46"/>
      <c r="GM314" s="46"/>
      <c r="GN314" s="46"/>
      <c r="GO314" s="46"/>
      <c r="GP314" s="46"/>
    </row>
    <row r="315" spans="1:198" x14ac:dyDescent="0.2">
      <c r="A315" s="115" t="s">
        <v>43</v>
      </c>
      <c r="B315" s="68" t="s">
        <v>74</v>
      </c>
      <c r="C315" s="63">
        <v>4638599.49</v>
      </c>
      <c r="D315" s="62">
        <v>458711103.5661</v>
      </c>
      <c r="E315" s="29"/>
      <c r="F315" s="30"/>
      <c r="G315" s="46"/>
      <c r="H315" s="47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46"/>
      <c r="DP315" s="46"/>
      <c r="DQ315" s="46"/>
      <c r="DR315" s="46"/>
      <c r="DS315" s="46"/>
      <c r="DT315" s="46"/>
      <c r="DU315" s="46"/>
      <c r="DV315" s="46"/>
      <c r="DW315" s="46"/>
      <c r="DX315" s="46"/>
      <c r="DY315" s="46"/>
      <c r="DZ315" s="46"/>
      <c r="EA315" s="46"/>
      <c r="EB315" s="46"/>
      <c r="EC315" s="46"/>
      <c r="ED315" s="46"/>
      <c r="EE315" s="46"/>
      <c r="EF315" s="46"/>
      <c r="EG315" s="46"/>
      <c r="EH315" s="46"/>
      <c r="EI315" s="46"/>
      <c r="EJ315" s="46"/>
      <c r="EK315" s="46"/>
      <c r="EL315" s="46"/>
      <c r="EM315" s="46"/>
      <c r="EN315" s="46"/>
      <c r="EO315" s="46"/>
      <c r="EP315" s="46"/>
      <c r="EQ315" s="46"/>
      <c r="ER315" s="46"/>
      <c r="ES315" s="46"/>
      <c r="ET315" s="46"/>
      <c r="EU315" s="46"/>
      <c r="EV315" s="46"/>
      <c r="EW315" s="46"/>
      <c r="EX315" s="46"/>
      <c r="EY315" s="46"/>
      <c r="EZ315" s="46"/>
      <c r="FA315" s="46"/>
      <c r="FB315" s="46"/>
      <c r="FC315" s="46"/>
      <c r="FD315" s="46"/>
      <c r="FE315" s="46"/>
      <c r="FF315" s="46"/>
      <c r="FG315" s="46"/>
      <c r="FH315" s="46"/>
      <c r="FI315" s="46"/>
      <c r="FJ315" s="46"/>
      <c r="FK315" s="46"/>
      <c r="FL315" s="46"/>
      <c r="FM315" s="46"/>
      <c r="FN315" s="46"/>
      <c r="FO315" s="46"/>
      <c r="FP315" s="46"/>
      <c r="FQ315" s="46"/>
      <c r="FR315" s="46"/>
      <c r="FS315" s="46"/>
      <c r="FT315" s="46"/>
      <c r="FU315" s="46"/>
      <c r="FV315" s="46"/>
      <c r="FW315" s="46"/>
      <c r="FX315" s="46"/>
      <c r="FY315" s="46"/>
      <c r="FZ315" s="46"/>
      <c r="GA315" s="46"/>
      <c r="GB315" s="46"/>
      <c r="GC315" s="46"/>
      <c r="GD315" s="46"/>
      <c r="GE315" s="46"/>
      <c r="GF315" s="46"/>
      <c r="GG315" s="46"/>
      <c r="GH315" s="46"/>
      <c r="GI315" s="46"/>
      <c r="GJ315" s="46"/>
      <c r="GK315" s="46"/>
      <c r="GL315" s="46"/>
      <c r="GM315" s="46"/>
      <c r="GN315" s="46"/>
      <c r="GO315" s="46"/>
      <c r="GP315" s="46"/>
    </row>
    <row r="316" spans="1:198" ht="15" x14ac:dyDescent="0.2">
      <c r="A316" s="115" t="s">
        <v>44</v>
      </c>
      <c r="B316" s="68" t="s">
        <v>74</v>
      </c>
      <c r="C316" s="162">
        <v>3726786.41</v>
      </c>
      <c r="D316" s="62">
        <v>368541908.08490002</v>
      </c>
      <c r="E316" s="16">
        <f>3535539.48-90654.86</f>
        <v>3444884.62</v>
      </c>
      <c r="F316" s="31">
        <v>2051006059</v>
      </c>
      <c r="G316" s="46"/>
      <c r="H316" s="47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  <c r="EY316" s="46"/>
      <c r="EZ316" s="46"/>
      <c r="FA316" s="46"/>
      <c r="FB316" s="46"/>
      <c r="FC316" s="46"/>
      <c r="FD316" s="46"/>
      <c r="FE316" s="46"/>
      <c r="FF316" s="46"/>
      <c r="FG316" s="46"/>
      <c r="FH316" s="46"/>
      <c r="FI316" s="46"/>
      <c r="FJ316" s="46"/>
      <c r="FK316" s="46"/>
      <c r="FL316" s="46"/>
      <c r="FM316" s="46"/>
      <c r="FN316" s="46"/>
      <c r="FO316" s="46"/>
      <c r="FP316" s="46"/>
      <c r="FQ316" s="46"/>
      <c r="FR316" s="46"/>
      <c r="FS316" s="46"/>
      <c r="FT316" s="46"/>
      <c r="FU316" s="46"/>
      <c r="FV316" s="46"/>
      <c r="FW316" s="46"/>
      <c r="FX316" s="46"/>
      <c r="FY316" s="46"/>
      <c r="FZ316" s="46"/>
      <c r="GA316" s="46"/>
      <c r="GB316" s="46"/>
      <c r="GC316" s="46"/>
      <c r="GD316" s="46"/>
      <c r="GE316" s="46"/>
      <c r="GF316" s="46"/>
      <c r="GG316" s="46"/>
      <c r="GH316" s="46"/>
      <c r="GI316" s="46"/>
      <c r="GJ316" s="46"/>
      <c r="GK316" s="46"/>
      <c r="GL316" s="46"/>
      <c r="GM316" s="46"/>
      <c r="GN316" s="46"/>
      <c r="GO316" s="46"/>
      <c r="GP316" s="46"/>
    </row>
    <row r="317" spans="1:198" ht="15" x14ac:dyDescent="0.2">
      <c r="A317" s="115" t="s">
        <v>59</v>
      </c>
      <c r="B317" s="68" t="s">
        <v>74</v>
      </c>
      <c r="C317" s="63">
        <v>2076989.01</v>
      </c>
      <c r="D317" s="62">
        <v>205393443.19890001</v>
      </c>
      <c r="E317" s="23">
        <f>10209530.1-261782.82</f>
        <v>9947747.2799999993</v>
      </c>
      <c r="F317" s="31">
        <v>2051006060</v>
      </c>
      <c r="G317" s="46"/>
      <c r="H317" s="47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  <c r="EF317" s="46"/>
      <c r="EG317" s="46"/>
      <c r="EH317" s="46"/>
      <c r="EI317" s="46"/>
      <c r="EJ317" s="46"/>
      <c r="EK317" s="46"/>
      <c r="EL317" s="46"/>
      <c r="EM317" s="46"/>
      <c r="EN317" s="46"/>
      <c r="EO317" s="46"/>
      <c r="EP317" s="46"/>
      <c r="EQ317" s="46"/>
      <c r="ER317" s="46"/>
      <c r="ES317" s="46"/>
      <c r="ET317" s="46"/>
      <c r="EU317" s="46"/>
      <c r="EV317" s="46"/>
      <c r="EW317" s="46"/>
      <c r="EX317" s="46"/>
      <c r="EY317" s="46"/>
      <c r="EZ317" s="46"/>
      <c r="FA317" s="46"/>
      <c r="FB317" s="46"/>
      <c r="FC317" s="46"/>
      <c r="FD317" s="46"/>
      <c r="FE317" s="46"/>
      <c r="FF317" s="46"/>
      <c r="FG317" s="46"/>
      <c r="FH317" s="46"/>
      <c r="FI317" s="46"/>
      <c r="FJ317" s="46"/>
      <c r="FK317" s="46"/>
      <c r="FL317" s="46"/>
      <c r="FM317" s="46"/>
      <c r="FN317" s="46"/>
      <c r="FO317" s="46"/>
      <c r="FP317" s="46"/>
      <c r="FQ317" s="46"/>
      <c r="FR317" s="46"/>
      <c r="FS317" s="46"/>
      <c r="FT317" s="46"/>
      <c r="FU317" s="46"/>
      <c r="FV317" s="46"/>
      <c r="FW317" s="46"/>
      <c r="FX317" s="46"/>
      <c r="FY317" s="46"/>
      <c r="FZ317" s="46"/>
      <c r="GA317" s="46"/>
      <c r="GB317" s="46"/>
      <c r="GC317" s="46"/>
      <c r="GD317" s="46"/>
      <c r="GE317" s="46"/>
      <c r="GF317" s="46"/>
      <c r="GG317" s="46"/>
      <c r="GH317" s="46"/>
      <c r="GI317" s="46"/>
      <c r="GJ317" s="46"/>
      <c r="GK317" s="46"/>
      <c r="GL317" s="46"/>
      <c r="GM317" s="46"/>
      <c r="GN317" s="46"/>
      <c r="GO317" s="46"/>
      <c r="GP317" s="46"/>
    </row>
    <row r="318" spans="1:198" ht="15" x14ac:dyDescent="0.2">
      <c r="A318" s="115" t="s">
        <v>130</v>
      </c>
      <c r="B318" s="68" t="s">
        <v>74</v>
      </c>
      <c r="C318" s="63">
        <v>6724830.1699999999</v>
      </c>
      <c r="D318" s="62">
        <v>665018455.51129997</v>
      </c>
      <c r="E318" s="16">
        <f>3182202.09+12629.03-420.97-106073.4</f>
        <v>3088336.7499999995</v>
      </c>
      <c r="F318" s="31"/>
      <c r="G318" s="46"/>
      <c r="H318" s="47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  <c r="CZ318" s="46"/>
      <c r="DA318" s="46"/>
      <c r="DB318" s="46"/>
      <c r="DC318" s="46"/>
      <c r="DD318" s="46"/>
      <c r="DE318" s="46"/>
      <c r="DF318" s="46"/>
      <c r="DG318" s="46"/>
      <c r="DH318" s="46"/>
      <c r="DI318" s="46"/>
      <c r="DJ318" s="46"/>
      <c r="DK318" s="46"/>
      <c r="DL318" s="46"/>
      <c r="DM318" s="46"/>
      <c r="DN318" s="46"/>
      <c r="DO318" s="46"/>
      <c r="DP318" s="46"/>
      <c r="DQ318" s="46"/>
      <c r="DR318" s="46"/>
      <c r="DS318" s="46"/>
      <c r="DT318" s="46"/>
      <c r="DU318" s="46"/>
      <c r="DV318" s="46"/>
      <c r="DW318" s="46"/>
      <c r="DX318" s="46"/>
      <c r="DY318" s="46"/>
      <c r="DZ318" s="46"/>
      <c r="EA318" s="46"/>
      <c r="EB318" s="46"/>
      <c r="EC318" s="46"/>
      <c r="ED318" s="46"/>
      <c r="EE318" s="46"/>
      <c r="EF318" s="46"/>
      <c r="EG318" s="46"/>
      <c r="EH318" s="46"/>
      <c r="EI318" s="46"/>
      <c r="EJ318" s="46"/>
      <c r="EK318" s="46"/>
      <c r="EL318" s="46"/>
      <c r="EM318" s="46"/>
      <c r="EN318" s="46"/>
      <c r="EO318" s="46"/>
      <c r="EP318" s="46"/>
      <c r="EQ318" s="46"/>
      <c r="ER318" s="46"/>
      <c r="ES318" s="46"/>
      <c r="ET318" s="46"/>
      <c r="EU318" s="46"/>
      <c r="EV318" s="46"/>
      <c r="EW318" s="46"/>
      <c r="EX318" s="46"/>
      <c r="EY318" s="46"/>
      <c r="EZ318" s="46"/>
      <c r="FA318" s="46"/>
      <c r="FB318" s="46"/>
      <c r="FC318" s="46"/>
      <c r="FD318" s="46"/>
      <c r="FE318" s="46"/>
      <c r="FF318" s="46"/>
      <c r="FG318" s="46"/>
      <c r="FH318" s="46"/>
      <c r="FI318" s="46"/>
      <c r="FJ318" s="46"/>
      <c r="FK318" s="46"/>
      <c r="FL318" s="46"/>
      <c r="FM318" s="46"/>
      <c r="FN318" s="46"/>
      <c r="FO318" s="46"/>
      <c r="FP318" s="46"/>
      <c r="FQ318" s="46"/>
      <c r="FR318" s="46"/>
      <c r="FS318" s="46"/>
      <c r="FT318" s="46"/>
      <c r="FU318" s="46"/>
      <c r="FV318" s="46"/>
      <c r="FW318" s="46"/>
      <c r="FX318" s="46"/>
      <c r="FY318" s="46"/>
      <c r="FZ318" s="46"/>
      <c r="GA318" s="46"/>
      <c r="GB318" s="46"/>
      <c r="GC318" s="46"/>
      <c r="GD318" s="46"/>
      <c r="GE318" s="46"/>
      <c r="GF318" s="46"/>
      <c r="GG318" s="46"/>
      <c r="GH318" s="46"/>
      <c r="GI318" s="46"/>
      <c r="GJ318" s="46"/>
      <c r="GK318" s="46"/>
      <c r="GL318" s="46"/>
      <c r="GM318" s="46"/>
      <c r="GN318" s="46"/>
      <c r="GO318" s="46"/>
      <c r="GP318" s="46"/>
    </row>
    <row r="319" spans="1:198" ht="15" x14ac:dyDescent="0.2">
      <c r="A319" s="115" t="s">
        <v>148</v>
      </c>
      <c r="B319" s="68" t="s">
        <v>74</v>
      </c>
      <c r="C319" s="117">
        <v>2762993.33</v>
      </c>
      <c r="D319" s="62">
        <v>273232410.40369999</v>
      </c>
      <c r="E319" s="16">
        <v>9826957.0999999996</v>
      </c>
      <c r="F319" s="31">
        <v>2051006064</v>
      </c>
      <c r="G319" s="46"/>
      <c r="H319" s="47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  <c r="CZ319" s="46"/>
      <c r="DA319" s="46"/>
      <c r="DB319" s="46"/>
      <c r="DC319" s="46"/>
      <c r="DD319" s="46"/>
      <c r="DE319" s="46"/>
      <c r="DF319" s="46"/>
      <c r="DG319" s="46"/>
      <c r="DH319" s="46"/>
      <c r="DI319" s="46"/>
      <c r="DJ319" s="46"/>
      <c r="DK319" s="46"/>
      <c r="DL319" s="46"/>
      <c r="DM319" s="46"/>
      <c r="DN319" s="46"/>
      <c r="DO319" s="46"/>
      <c r="DP319" s="46"/>
      <c r="DQ319" s="46"/>
      <c r="DR319" s="46"/>
      <c r="DS319" s="46"/>
      <c r="DT319" s="46"/>
      <c r="DU319" s="46"/>
      <c r="DV319" s="46"/>
      <c r="DW319" s="46"/>
      <c r="DX319" s="46"/>
      <c r="DY319" s="46"/>
      <c r="DZ319" s="46"/>
      <c r="EA319" s="46"/>
      <c r="EB319" s="46"/>
      <c r="EC319" s="46"/>
      <c r="ED319" s="46"/>
      <c r="EE319" s="46"/>
      <c r="EF319" s="46"/>
      <c r="EG319" s="46"/>
      <c r="EH319" s="46"/>
      <c r="EI319" s="46"/>
      <c r="EJ319" s="46"/>
      <c r="EK319" s="46"/>
      <c r="EL319" s="46"/>
      <c r="EM319" s="46"/>
      <c r="EN319" s="46"/>
      <c r="EO319" s="46"/>
      <c r="EP319" s="46"/>
      <c r="EQ319" s="46"/>
      <c r="ER319" s="46"/>
      <c r="ES319" s="46"/>
      <c r="ET319" s="46"/>
      <c r="EU319" s="46"/>
      <c r="EV319" s="46"/>
      <c r="EW319" s="46"/>
      <c r="EX319" s="46"/>
      <c r="EY319" s="46"/>
      <c r="EZ319" s="46"/>
      <c r="FA319" s="46"/>
      <c r="FB319" s="46"/>
      <c r="FC319" s="46"/>
      <c r="FD319" s="46"/>
      <c r="FE319" s="46"/>
      <c r="FF319" s="46"/>
      <c r="FG319" s="46"/>
      <c r="FH319" s="46"/>
      <c r="FI319" s="46"/>
      <c r="FJ319" s="46"/>
      <c r="FK319" s="46"/>
      <c r="FL319" s="46"/>
      <c r="FM319" s="46"/>
      <c r="FN319" s="46"/>
      <c r="FO319" s="46"/>
      <c r="FP319" s="46"/>
      <c r="FQ319" s="46"/>
      <c r="FR319" s="46"/>
      <c r="FS319" s="46"/>
      <c r="FT319" s="46"/>
      <c r="FU319" s="46"/>
      <c r="FV319" s="46"/>
      <c r="FW319" s="46"/>
      <c r="FX319" s="46"/>
      <c r="FY319" s="46"/>
      <c r="FZ319" s="46"/>
      <c r="GA319" s="46"/>
      <c r="GB319" s="46"/>
      <c r="GC319" s="46"/>
      <c r="GD319" s="46"/>
      <c r="GE319" s="46"/>
      <c r="GF319" s="46"/>
      <c r="GG319" s="46"/>
      <c r="GH319" s="46"/>
      <c r="GI319" s="46"/>
      <c r="GJ319" s="46"/>
      <c r="GK319" s="46"/>
      <c r="GL319" s="46"/>
      <c r="GM319" s="46"/>
      <c r="GN319" s="46"/>
      <c r="GO319" s="46"/>
      <c r="GP319" s="46"/>
    </row>
    <row r="320" spans="1:198" ht="15" x14ac:dyDescent="0.2">
      <c r="A320" s="115" t="s">
        <v>326</v>
      </c>
      <c r="B320" s="68" t="s">
        <v>74</v>
      </c>
      <c r="C320" s="63">
        <v>20320462.59</v>
      </c>
      <c r="D320" s="62">
        <v>2009490545.5251</v>
      </c>
      <c r="E320" s="16">
        <v>150000000</v>
      </c>
      <c r="F320" s="31">
        <v>2051006062</v>
      </c>
      <c r="G320" s="46"/>
      <c r="H320" s="47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  <c r="CZ320" s="46"/>
      <c r="DA320" s="46"/>
      <c r="DB320" s="46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  <c r="EF320" s="46"/>
      <c r="EG320" s="46"/>
      <c r="EH320" s="46"/>
      <c r="EI320" s="46"/>
      <c r="EJ320" s="46"/>
      <c r="EK320" s="46"/>
      <c r="EL320" s="46"/>
      <c r="EM320" s="46"/>
      <c r="EN320" s="46"/>
      <c r="EO320" s="46"/>
      <c r="EP320" s="46"/>
      <c r="EQ320" s="46"/>
      <c r="ER320" s="46"/>
      <c r="ES320" s="46"/>
      <c r="ET320" s="46"/>
      <c r="EU320" s="46"/>
      <c r="EV320" s="46"/>
      <c r="EW320" s="46"/>
      <c r="EX320" s="46"/>
      <c r="EY320" s="46"/>
      <c r="EZ320" s="46"/>
      <c r="FA320" s="46"/>
      <c r="FB320" s="46"/>
      <c r="FC320" s="46"/>
      <c r="FD320" s="46"/>
      <c r="FE320" s="46"/>
      <c r="FF320" s="46"/>
      <c r="FG320" s="46"/>
      <c r="FH320" s="46"/>
      <c r="FI320" s="46"/>
      <c r="FJ320" s="46"/>
      <c r="FK320" s="46"/>
      <c r="FL320" s="46"/>
      <c r="FM320" s="46"/>
      <c r="FN320" s="46"/>
      <c r="FO320" s="46"/>
      <c r="FP320" s="46"/>
      <c r="FQ320" s="46"/>
      <c r="FR320" s="46"/>
      <c r="FS320" s="46"/>
      <c r="FT320" s="46"/>
      <c r="FU320" s="46"/>
      <c r="FV320" s="46"/>
      <c r="FW320" s="46"/>
      <c r="FX320" s="46"/>
      <c r="FY320" s="46"/>
      <c r="FZ320" s="46"/>
      <c r="GA320" s="46"/>
      <c r="GB320" s="46"/>
      <c r="GC320" s="46"/>
      <c r="GD320" s="46"/>
      <c r="GE320" s="46"/>
      <c r="GF320" s="46"/>
      <c r="GG320" s="46"/>
      <c r="GH320" s="46"/>
      <c r="GI320" s="46"/>
      <c r="GJ320" s="46"/>
      <c r="GK320" s="46"/>
      <c r="GL320" s="46"/>
      <c r="GM320" s="46"/>
      <c r="GN320" s="46"/>
      <c r="GO320" s="46"/>
      <c r="GP320" s="46"/>
    </row>
    <row r="321" spans="1:198" ht="15" x14ac:dyDescent="0.2">
      <c r="A321" s="115" t="s">
        <v>55</v>
      </c>
      <c r="B321" s="68" t="s">
        <v>74</v>
      </c>
      <c r="C321" s="63">
        <v>80000000</v>
      </c>
      <c r="D321" s="62">
        <v>7911200000</v>
      </c>
      <c r="E321" s="16">
        <f>6429839.9-153091.43</f>
        <v>6276748.4700000007</v>
      </c>
      <c r="F321" s="31">
        <v>2051006065</v>
      </c>
      <c r="G321" s="46"/>
      <c r="H321" s="47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  <c r="CI321" s="46"/>
      <c r="CJ321" s="46"/>
      <c r="CK321" s="46"/>
      <c r="CL321" s="46"/>
      <c r="CM321" s="46"/>
      <c r="CN321" s="46"/>
      <c r="CO321" s="46"/>
      <c r="CP321" s="46"/>
      <c r="CQ321" s="46"/>
      <c r="CR321" s="46"/>
      <c r="CS321" s="46"/>
      <c r="CT321" s="46"/>
      <c r="CU321" s="46"/>
      <c r="CV321" s="46"/>
      <c r="CW321" s="46"/>
      <c r="CX321" s="46"/>
      <c r="CY321" s="46"/>
      <c r="CZ321" s="46"/>
      <c r="DA321" s="46"/>
      <c r="DB321" s="46"/>
      <c r="DC321" s="46"/>
      <c r="DD321" s="46"/>
      <c r="DE321" s="46"/>
      <c r="DF321" s="46"/>
      <c r="DG321" s="46"/>
      <c r="DH321" s="46"/>
      <c r="DI321" s="46"/>
      <c r="DJ321" s="46"/>
      <c r="DK321" s="46"/>
      <c r="DL321" s="46"/>
      <c r="DM321" s="46"/>
      <c r="DN321" s="46"/>
      <c r="DO321" s="46"/>
      <c r="DP321" s="46"/>
      <c r="DQ321" s="46"/>
      <c r="DR321" s="46"/>
      <c r="DS321" s="46"/>
      <c r="DT321" s="46"/>
      <c r="DU321" s="46"/>
      <c r="DV321" s="46"/>
      <c r="DW321" s="46"/>
      <c r="DX321" s="46"/>
      <c r="DY321" s="46"/>
      <c r="DZ321" s="46"/>
      <c r="EA321" s="46"/>
      <c r="EB321" s="46"/>
      <c r="EC321" s="46"/>
      <c r="ED321" s="46"/>
      <c r="EE321" s="46"/>
      <c r="EF321" s="46"/>
      <c r="EG321" s="46"/>
      <c r="EH321" s="46"/>
      <c r="EI321" s="46"/>
      <c r="EJ321" s="46"/>
      <c r="EK321" s="46"/>
      <c r="EL321" s="46"/>
      <c r="EM321" s="46"/>
      <c r="EN321" s="46"/>
      <c r="EO321" s="46"/>
      <c r="EP321" s="46"/>
      <c r="EQ321" s="46"/>
      <c r="ER321" s="46"/>
      <c r="ES321" s="46"/>
      <c r="ET321" s="46"/>
      <c r="EU321" s="46"/>
      <c r="EV321" s="46"/>
      <c r="EW321" s="46"/>
      <c r="EX321" s="46"/>
      <c r="EY321" s="46"/>
      <c r="EZ321" s="46"/>
      <c r="FA321" s="46"/>
      <c r="FB321" s="46"/>
      <c r="FC321" s="46"/>
      <c r="FD321" s="46"/>
      <c r="FE321" s="46"/>
      <c r="FF321" s="46"/>
      <c r="FG321" s="46"/>
      <c r="FH321" s="46"/>
      <c r="FI321" s="46"/>
      <c r="FJ321" s="46"/>
      <c r="FK321" s="46"/>
      <c r="FL321" s="46"/>
      <c r="FM321" s="46"/>
      <c r="FN321" s="46"/>
      <c r="FO321" s="46"/>
      <c r="FP321" s="46"/>
      <c r="FQ321" s="46"/>
      <c r="FR321" s="46"/>
      <c r="FS321" s="46"/>
      <c r="FT321" s="46"/>
      <c r="FU321" s="46"/>
      <c r="FV321" s="46"/>
      <c r="FW321" s="46"/>
      <c r="FX321" s="46"/>
      <c r="FY321" s="46"/>
      <c r="FZ321" s="46"/>
      <c r="GA321" s="46"/>
      <c r="GB321" s="46"/>
      <c r="GC321" s="46"/>
      <c r="GD321" s="46"/>
      <c r="GE321" s="46"/>
      <c r="GF321" s="46"/>
      <c r="GG321" s="46"/>
      <c r="GH321" s="46"/>
      <c r="GI321" s="46"/>
      <c r="GJ321" s="46"/>
      <c r="GK321" s="46"/>
      <c r="GL321" s="46"/>
      <c r="GM321" s="46"/>
      <c r="GN321" s="46"/>
      <c r="GO321" s="46"/>
      <c r="GP321" s="46"/>
    </row>
    <row r="322" spans="1:198" ht="15" x14ac:dyDescent="0.2">
      <c r="A322" s="115" t="s">
        <v>60</v>
      </c>
      <c r="B322" s="68" t="s">
        <v>74</v>
      </c>
      <c r="C322" s="63">
        <v>11997339.789999999</v>
      </c>
      <c r="D322" s="62">
        <v>1186416931.8330998</v>
      </c>
      <c r="E322" s="16">
        <f>3133177.53-50198.77</f>
        <v>3082978.76</v>
      </c>
      <c r="F322" s="31">
        <v>2051006068</v>
      </c>
      <c r="G322" s="46"/>
      <c r="H322" s="47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  <c r="CM322" s="46"/>
      <c r="CN322" s="46"/>
      <c r="CO322" s="46"/>
      <c r="CP322" s="46"/>
      <c r="CQ322" s="46"/>
      <c r="CR322" s="46"/>
      <c r="CS322" s="46"/>
      <c r="CT322" s="46"/>
      <c r="CU322" s="46"/>
      <c r="CV322" s="46"/>
      <c r="CW322" s="46"/>
      <c r="CX322" s="46"/>
      <c r="CY322" s="46"/>
      <c r="CZ322" s="46"/>
      <c r="DA322" s="46"/>
      <c r="DB322" s="46"/>
      <c r="DC322" s="46"/>
      <c r="DD322" s="46"/>
      <c r="DE322" s="46"/>
      <c r="DF322" s="46"/>
      <c r="DG322" s="46"/>
      <c r="DH322" s="46"/>
      <c r="DI322" s="46"/>
      <c r="DJ322" s="46"/>
      <c r="DK322" s="46"/>
      <c r="DL322" s="46"/>
      <c r="DM322" s="46"/>
      <c r="DN322" s="46"/>
      <c r="DO322" s="46"/>
      <c r="DP322" s="46"/>
      <c r="DQ322" s="46"/>
      <c r="DR322" s="46"/>
      <c r="DS322" s="46"/>
      <c r="DT322" s="46"/>
      <c r="DU322" s="46"/>
      <c r="DV322" s="46"/>
      <c r="DW322" s="46"/>
      <c r="DX322" s="46"/>
      <c r="DY322" s="46"/>
      <c r="DZ322" s="46"/>
      <c r="EA322" s="46"/>
      <c r="EB322" s="46"/>
      <c r="EC322" s="46"/>
      <c r="ED322" s="46"/>
      <c r="EE322" s="46"/>
      <c r="EF322" s="46"/>
      <c r="EG322" s="46"/>
      <c r="EH322" s="46"/>
      <c r="EI322" s="46"/>
      <c r="EJ322" s="46"/>
      <c r="EK322" s="46"/>
      <c r="EL322" s="46"/>
      <c r="EM322" s="46"/>
      <c r="EN322" s="46"/>
      <c r="EO322" s="46"/>
      <c r="EP322" s="46"/>
      <c r="EQ322" s="46"/>
      <c r="ER322" s="46"/>
      <c r="ES322" s="46"/>
      <c r="ET322" s="46"/>
      <c r="EU322" s="46"/>
      <c r="EV322" s="46"/>
      <c r="EW322" s="46"/>
      <c r="EX322" s="46"/>
      <c r="EY322" s="46"/>
      <c r="EZ322" s="46"/>
      <c r="FA322" s="46"/>
      <c r="FB322" s="46"/>
      <c r="FC322" s="46"/>
      <c r="FD322" s="46"/>
      <c r="FE322" s="46"/>
      <c r="FF322" s="46"/>
      <c r="FG322" s="46"/>
      <c r="FH322" s="46"/>
      <c r="FI322" s="46"/>
      <c r="FJ322" s="46"/>
      <c r="FK322" s="46"/>
      <c r="FL322" s="46"/>
      <c r="FM322" s="46"/>
      <c r="FN322" s="46"/>
      <c r="FO322" s="46"/>
      <c r="FP322" s="46"/>
      <c r="FQ322" s="46"/>
      <c r="FR322" s="46"/>
      <c r="FS322" s="46"/>
      <c r="FT322" s="46"/>
      <c r="FU322" s="46"/>
      <c r="FV322" s="46"/>
      <c r="FW322" s="46"/>
      <c r="FX322" s="46"/>
      <c r="FY322" s="46"/>
      <c r="FZ322" s="46"/>
      <c r="GA322" s="46"/>
      <c r="GB322" s="46"/>
      <c r="GC322" s="46"/>
      <c r="GD322" s="46"/>
      <c r="GE322" s="46"/>
      <c r="GF322" s="46"/>
      <c r="GG322" s="46"/>
      <c r="GH322" s="46"/>
      <c r="GI322" s="46"/>
      <c r="GJ322" s="46"/>
      <c r="GK322" s="46"/>
      <c r="GL322" s="46"/>
      <c r="GM322" s="46"/>
      <c r="GN322" s="46"/>
      <c r="GO322" s="46"/>
      <c r="GP322" s="46"/>
    </row>
    <row r="323" spans="1:198" ht="15" x14ac:dyDescent="0.2">
      <c r="A323" s="115" t="s">
        <v>129</v>
      </c>
      <c r="B323" s="68" t="s">
        <v>74</v>
      </c>
      <c r="C323" s="63">
        <v>9597642.3200000003</v>
      </c>
      <c r="D323" s="62">
        <v>949110849.02480006</v>
      </c>
      <c r="E323" s="16">
        <f>32500000+27500000</f>
        <v>60000000</v>
      </c>
      <c r="F323" s="31">
        <v>2051006069</v>
      </c>
      <c r="G323" s="46"/>
      <c r="H323" s="47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  <c r="CM323" s="46"/>
      <c r="CN323" s="46"/>
      <c r="CO323" s="46"/>
      <c r="CP323" s="46"/>
      <c r="CQ323" s="46"/>
      <c r="CR323" s="46"/>
      <c r="CS323" s="46"/>
      <c r="CT323" s="46"/>
      <c r="CU323" s="46"/>
      <c r="CV323" s="46"/>
      <c r="CW323" s="46"/>
      <c r="CX323" s="46"/>
      <c r="CY323" s="46"/>
      <c r="CZ323" s="46"/>
      <c r="DA323" s="46"/>
      <c r="DB323" s="46"/>
      <c r="DC323" s="46"/>
      <c r="DD323" s="46"/>
      <c r="DE323" s="46"/>
      <c r="DF323" s="46"/>
      <c r="DG323" s="46"/>
      <c r="DH323" s="46"/>
      <c r="DI323" s="46"/>
      <c r="DJ323" s="46"/>
      <c r="DK323" s="46"/>
      <c r="DL323" s="46"/>
      <c r="DM323" s="46"/>
      <c r="DN323" s="46"/>
      <c r="DO323" s="46"/>
      <c r="DP323" s="46"/>
      <c r="DQ323" s="46"/>
      <c r="DR323" s="46"/>
      <c r="DS323" s="46"/>
      <c r="DT323" s="46"/>
      <c r="DU323" s="46"/>
      <c r="DV323" s="46"/>
      <c r="DW323" s="46"/>
      <c r="DX323" s="46"/>
      <c r="DY323" s="46"/>
      <c r="DZ323" s="46"/>
      <c r="EA323" s="46"/>
      <c r="EB323" s="46"/>
      <c r="EC323" s="46"/>
      <c r="ED323" s="46"/>
      <c r="EE323" s="46"/>
      <c r="EF323" s="46"/>
      <c r="EG323" s="46"/>
      <c r="EH323" s="46"/>
      <c r="EI323" s="46"/>
      <c r="EJ323" s="46"/>
      <c r="EK323" s="46"/>
      <c r="EL323" s="46"/>
      <c r="EM323" s="46"/>
      <c r="EN323" s="46"/>
      <c r="EO323" s="46"/>
      <c r="EP323" s="46"/>
      <c r="EQ323" s="46"/>
      <c r="ER323" s="46"/>
      <c r="ES323" s="46"/>
      <c r="ET323" s="46"/>
      <c r="EU323" s="46"/>
      <c r="EV323" s="46"/>
      <c r="EW323" s="46"/>
      <c r="EX323" s="46"/>
      <c r="EY323" s="46"/>
      <c r="EZ323" s="46"/>
      <c r="FA323" s="46"/>
      <c r="FB323" s="46"/>
      <c r="FC323" s="46"/>
      <c r="FD323" s="46"/>
      <c r="FE323" s="46"/>
      <c r="FF323" s="46"/>
      <c r="FG323" s="46"/>
      <c r="FH323" s="46"/>
      <c r="FI323" s="46"/>
      <c r="FJ323" s="46"/>
      <c r="FK323" s="46"/>
      <c r="FL323" s="46"/>
      <c r="FM323" s="46"/>
      <c r="FN323" s="46"/>
      <c r="FO323" s="46"/>
      <c r="FP323" s="46"/>
      <c r="FQ323" s="46"/>
      <c r="FR323" s="46"/>
      <c r="FS323" s="46"/>
      <c r="FT323" s="46"/>
      <c r="FU323" s="46"/>
      <c r="FV323" s="46"/>
      <c r="FW323" s="46"/>
      <c r="FX323" s="46"/>
      <c r="FY323" s="46"/>
      <c r="FZ323" s="46"/>
      <c r="GA323" s="46"/>
      <c r="GB323" s="46"/>
      <c r="GC323" s="46"/>
      <c r="GD323" s="46"/>
      <c r="GE323" s="46"/>
      <c r="GF323" s="46"/>
      <c r="GG323" s="46"/>
      <c r="GH323" s="46"/>
      <c r="GI323" s="46"/>
      <c r="GJ323" s="46"/>
      <c r="GK323" s="46"/>
      <c r="GL323" s="46"/>
      <c r="GM323" s="46"/>
      <c r="GN323" s="46"/>
      <c r="GO323" s="46"/>
      <c r="GP323" s="46"/>
    </row>
    <row r="324" spans="1:198" ht="15" x14ac:dyDescent="0.2">
      <c r="A324" s="115" t="s">
        <v>156</v>
      </c>
      <c r="B324" s="68" t="s">
        <v>74</v>
      </c>
      <c r="C324" s="63">
        <v>36000000</v>
      </c>
      <c r="D324" s="62">
        <v>3560040000</v>
      </c>
      <c r="E324" s="16">
        <v>678155.51</v>
      </c>
      <c r="F324" s="31">
        <v>2051006070</v>
      </c>
      <c r="G324" s="46"/>
      <c r="H324" s="47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  <c r="CM324" s="46"/>
      <c r="CN324" s="46"/>
      <c r="CO324" s="46"/>
      <c r="CP324" s="46"/>
      <c r="CQ324" s="46"/>
      <c r="CR324" s="46"/>
      <c r="CS324" s="46"/>
      <c r="CT324" s="46"/>
      <c r="CU324" s="46"/>
      <c r="CV324" s="46"/>
      <c r="CW324" s="46"/>
      <c r="CX324" s="46"/>
      <c r="CY324" s="46"/>
      <c r="CZ324" s="46"/>
      <c r="DA324" s="46"/>
      <c r="DB324" s="46"/>
      <c r="DC324" s="46"/>
      <c r="DD324" s="46"/>
      <c r="DE324" s="46"/>
      <c r="DF324" s="46"/>
      <c r="DG324" s="46"/>
      <c r="DH324" s="46"/>
      <c r="DI324" s="46"/>
      <c r="DJ324" s="46"/>
      <c r="DK324" s="46"/>
      <c r="DL324" s="46"/>
      <c r="DM324" s="46"/>
      <c r="DN324" s="46"/>
      <c r="DO324" s="46"/>
      <c r="DP324" s="46"/>
      <c r="DQ324" s="46"/>
      <c r="DR324" s="46"/>
      <c r="DS324" s="46"/>
      <c r="DT324" s="46"/>
      <c r="DU324" s="46"/>
      <c r="DV324" s="46"/>
      <c r="DW324" s="46"/>
      <c r="DX324" s="46"/>
      <c r="DY324" s="46"/>
      <c r="DZ324" s="46"/>
      <c r="EA324" s="46"/>
      <c r="EB324" s="46"/>
      <c r="EC324" s="46"/>
      <c r="ED324" s="46"/>
      <c r="EE324" s="46"/>
      <c r="EF324" s="46"/>
      <c r="EG324" s="46"/>
      <c r="EH324" s="46"/>
      <c r="EI324" s="46"/>
      <c r="EJ324" s="46"/>
      <c r="EK324" s="46"/>
      <c r="EL324" s="46"/>
      <c r="EM324" s="46"/>
      <c r="EN324" s="46"/>
      <c r="EO324" s="46"/>
      <c r="EP324" s="46"/>
      <c r="EQ324" s="46"/>
      <c r="ER324" s="46"/>
      <c r="ES324" s="46"/>
      <c r="ET324" s="46"/>
      <c r="EU324" s="46"/>
      <c r="EV324" s="46"/>
      <c r="EW324" s="46"/>
      <c r="EX324" s="46"/>
      <c r="EY324" s="46"/>
      <c r="EZ324" s="46"/>
      <c r="FA324" s="46"/>
      <c r="FB324" s="46"/>
      <c r="FC324" s="46"/>
      <c r="FD324" s="46"/>
      <c r="FE324" s="46"/>
      <c r="FF324" s="46"/>
      <c r="FG324" s="46"/>
      <c r="FH324" s="46"/>
      <c r="FI324" s="46"/>
      <c r="FJ324" s="46"/>
      <c r="FK324" s="46"/>
      <c r="FL324" s="46"/>
      <c r="FM324" s="46"/>
      <c r="FN324" s="46"/>
      <c r="FO324" s="46"/>
      <c r="FP324" s="46"/>
      <c r="FQ324" s="46"/>
      <c r="FR324" s="46"/>
      <c r="FS324" s="46"/>
      <c r="FT324" s="46"/>
      <c r="FU324" s="46"/>
      <c r="FV324" s="46"/>
      <c r="FW324" s="46"/>
      <c r="FX324" s="46"/>
      <c r="FY324" s="46"/>
      <c r="FZ324" s="46"/>
      <c r="GA324" s="46"/>
      <c r="GB324" s="46"/>
      <c r="GC324" s="46"/>
      <c r="GD324" s="46"/>
      <c r="GE324" s="46"/>
      <c r="GF324" s="46"/>
      <c r="GG324" s="46"/>
      <c r="GH324" s="46"/>
      <c r="GI324" s="46"/>
      <c r="GJ324" s="46"/>
      <c r="GK324" s="46"/>
      <c r="GL324" s="46"/>
      <c r="GM324" s="46"/>
      <c r="GN324" s="46"/>
      <c r="GO324" s="46"/>
      <c r="GP324" s="46"/>
    </row>
    <row r="325" spans="1:198" ht="15" x14ac:dyDescent="0.2">
      <c r="A325" s="115" t="s">
        <v>131</v>
      </c>
      <c r="B325" s="68" t="s">
        <v>74</v>
      </c>
      <c r="C325" s="63">
        <v>5302845.63</v>
      </c>
      <c r="D325" s="62">
        <v>524398404.35070002</v>
      </c>
      <c r="E325" s="16">
        <f>1181474.78-32818.74-32818.74</f>
        <v>1115837.3</v>
      </c>
      <c r="F325" s="31">
        <v>2051006073</v>
      </c>
      <c r="G325" s="46"/>
      <c r="H325" s="47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6"/>
      <c r="BS325" s="46"/>
      <c r="BT325" s="46"/>
      <c r="BU325" s="46"/>
      <c r="BV325" s="46"/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  <c r="CM325" s="46"/>
      <c r="CN325" s="46"/>
      <c r="CO325" s="46"/>
      <c r="CP325" s="46"/>
      <c r="CQ325" s="46"/>
      <c r="CR325" s="46"/>
      <c r="CS325" s="46"/>
      <c r="CT325" s="46"/>
      <c r="CU325" s="46"/>
      <c r="CV325" s="46"/>
      <c r="CW325" s="46"/>
      <c r="CX325" s="46"/>
      <c r="CY325" s="46"/>
      <c r="CZ325" s="46"/>
      <c r="DA325" s="46"/>
      <c r="DB325" s="46"/>
      <c r="DC325" s="46"/>
      <c r="DD325" s="46"/>
      <c r="DE325" s="46"/>
      <c r="DF325" s="46"/>
      <c r="DG325" s="46"/>
      <c r="DH325" s="46"/>
      <c r="DI325" s="46"/>
      <c r="DJ325" s="46"/>
      <c r="DK325" s="46"/>
      <c r="DL325" s="46"/>
      <c r="DM325" s="46"/>
      <c r="DN325" s="46"/>
      <c r="DO325" s="46"/>
      <c r="DP325" s="46"/>
      <c r="DQ325" s="46"/>
      <c r="DR325" s="46"/>
      <c r="DS325" s="46"/>
      <c r="DT325" s="46"/>
      <c r="DU325" s="46"/>
      <c r="DV325" s="46"/>
      <c r="DW325" s="46"/>
      <c r="DX325" s="46"/>
      <c r="DY325" s="46"/>
      <c r="DZ325" s="46"/>
      <c r="EA325" s="46"/>
      <c r="EB325" s="46"/>
      <c r="EC325" s="46"/>
      <c r="ED325" s="46"/>
      <c r="EE325" s="46"/>
      <c r="EF325" s="46"/>
      <c r="EG325" s="46"/>
      <c r="EH325" s="46"/>
      <c r="EI325" s="46"/>
      <c r="EJ325" s="46"/>
      <c r="EK325" s="46"/>
      <c r="EL325" s="46"/>
      <c r="EM325" s="46"/>
      <c r="EN325" s="46"/>
      <c r="EO325" s="46"/>
      <c r="EP325" s="46"/>
      <c r="EQ325" s="46"/>
      <c r="ER325" s="46"/>
      <c r="ES325" s="46"/>
      <c r="ET325" s="46"/>
      <c r="EU325" s="46"/>
      <c r="EV325" s="46"/>
      <c r="EW325" s="46"/>
      <c r="EX325" s="46"/>
      <c r="EY325" s="46"/>
      <c r="EZ325" s="46"/>
      <c r="FA325" s="46"/>
      <c r="FB325" s="46"/>
      <c r="FC325" s="46"/>
      <c r="FD325" s="46"/>
      <c r="FE325" s="46"/>
      <c r="FF325" s="46"/>
      <c r="FG325" s="46"/>
      <c r="FH325" s="46"/>
      <c r="FI325" s="46"/>
      <c r="FJ325" s="46"/>
      <c r="FK325" s="46"/>
      <c r="FL325" s="46"/>
      <c r="FM325" s="46"/>
      <c r="FN325" s="46"/>
      <c r="FO325" s="46"/>
      <c r="FP325" s="46"/>
      <c r="FQ325" s="46"/>
      <c r="FR325" s="46"/>
      <c r="FS325" s="46"/>
      <c r="FT325" s="46"/>
      <c r="FU325" s="46"/>
      <c r="FV325" s="46"/>
      <c r="FW325" s="46"/>
      <c r="FX325" s="46"/>
      <c r="FY325" s="46"/>
      <c r="FZ325" s="46"/>
      <c r="GA325" s="46"/>
      <c r="GB325" s="46"/>
      <c r="GC325" s="46"/>
      <c r="GD325" s="46"/>
      <c r="GE325" s="46"/>
      <c r="GF325" s="46"/>
      <c r="GG325" s="46"/>
      <c r="GH325" s="46"/>
      <c r="GI325" s="46"/>
      <c r="GJ325" s="46"/>
      <c r="GK325" s="46"/>
      <c r="GL325" s="46"/>
      <c r="GM325" s="46"/>
      <c r="GN325" s="46"/>
      <c r="GO325" s="46"/>
      <c r="GP325" s="46"/>
    </row>
    <row r="326" spans="1:198" ht="15" x14ac:dyDescent="0.2">
      <c r="A326" s="119" t="s">
        <v>138</v>
      </c>
      <c r="B326" s="68" t="s">
        <v>74</v>
      </c>
      <c r="C326" s="63">
        <v>11486071.52</v>
      </c>
      <c r="D326" s="62">
        <v>1135857612.6127999</v>
      </c>
      <c r="E326" s="16">
        <f>4765688.04</f>
        <v>4765688.04</v>
      </c>
      <c r="F326" s="31">
        <v>2051006071</v>
      </c>
      <c r="G326" s="46"/>
      <c r="H326" s="47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  <c r="CM326" s="46"/>
      <c r="CN326" s="46"/>
      <c r="CO326" s="46"/>
      <c r="CP326" s="46"/>
      <c r="CQ326" s="46"/>
      <c r="CR326" s="46"/>
      <c r="CS326" s="46"/>
      <c r="CT326" s="46"/>
      <c r="CU326" s="46"/>
      <c r="CV326" s="46"/>
      <c r="CW326" s="46"/>
      <c r="CX326" s="46"/>
      <c r="CY326" s="46"/>
      <c r="CZ326" s="46"/>
      <c r="DA326" s="46"/>
      <c r="DB326" s="46"/>
      <c r="DC326" s="46"/>
      <c r="DD326" s="46"/>
      <c r="DE326" s="46"/>
      <c r="DF326" s="46"/>
      <c r="DG326" s="46"/>
      <c r="DH326" s="46"/>
      <c r="DI326" s="46"/>
      <c r="DJ326" s="46"/>
      <c r="DK326" s="46"/>
      <c r="DL326" s="46"/>
      <c r="DM326" s="46"/>
      <c r="DN326" s="46"/>
      <c r="DO326" s="46"/>
      <c r="DP326" s="46"/>
      <c r="DQ326" s="46"/>
      <c r="DR326" s="46"/>
      <c r="DS326" s="46"/>
      <c r="DT326" s="46"/>
      <c r="DU326" s="46"/>
      <c r="DV326" s="46"/>
      <c r="DW326" s="46"/>
      <c r="DX326" s="46"/>
      <c r="DY326" s="46"/>
      <c r="DZ326" s="46"/>
      <c r="EA326" s="46"/>
      <c r="EB326" s="46"/>
      <c r="EC326" s="46"/>
      <c r="ED326" s="46"/>
      <c r="EE326" s="46"/>
      <c r="EF326" s="46"/>
      <c r="EG326" s="46"/>
      <c r="EH326" s="46"/>
      <c r="EI326" s="46"/>
      <c r="EJ326" s="46"/>
      <c r="EK326" s="46"/>
      <c r="EL326" s="46"/>
      <c r="EM326" s="46"/>
      <c r="EN326" s="46"/>
      <c r="EO326" s="46"/>
      <c r="EP326" s="46"/>
      <c r="EQ326" s="46"/>
      <c r="ER326" s="46"/>
      <c r="ES326" s="46"/>
      <c r="ET326" s="46"/>
      <c r="EU326" s="46"/>
      <c r="EV326" s="46"/>
      <c r="EW326" s="46"/>
      <c r="EX326" s="46"/>
      <c r="EY326" s="46"/>
      <c r="EZ326" s="46"/>
      <c r="FA326" s="46"/>
      <c r="FB326" s="46"/>
      <c r="FC326" s="46"/>
      <c r="FD326" s="46"/>
      <c r="FE326" s="46"/>
      <c r="FF326" s="46"/>
      <c r="FG326" s="46"/>
      <c r="FH326" s="46"/>
      <c r="FI326" s="46"/>
      <c r="FJ326" s="46"/>
      <c r="FK326" s="46"/>
      <c r="FL326" s="46"/>
      <c r="FM326" s="46"/>
      <c r="FN326" s="46"/>
      <c r="FO326" s="46"/>
      <c r="FP326" s="46"/>
      <c r="FQ326" s="46"/>
      <c r="FR326" s="46"/>
      <c r="FS326" s="46"/>
      <c r="FT326" s="46"/>
      <c r="FU326" s="46"/>
      <c r="FV326" s="46"/>
      <c r="FW326" s="46"/>
      <c r="FX326" s="46"/>
      <c r="FY326" s="46"/>
      <c r="FZ326" s="46"/>
      <c r="GA326" s="46"/>
      <c r="GB326" s="46"/>
      <c r="GC326" s="46"/>
      <c r="GD326" s="46"/>
      <c r="GE326" s="46"/>
      <c r="GF326" s="46"/>
      <c r="GG326" s="46"/>
      <c r="GH326" s="46"/>
      <c r="GI326" s="46"/>
      <c r="GJ326" s="46"/>
      <c r="GK326" s="46"/>
      <c r="GL326" s="46"/>
      <c r="GM326" s="46"/>
      <c r="GN326" s="46"/>
      <c r="GO326" s="46"/>
      <c r="GP326" s="46"/>
    </row>
    <row r="327" spans="1:198" ht="15" x14ac:dyDescent="0.2">
      <c r="A327" s="115" t="s">
        <v>157</v>
      </c>
      <c r="B327" s="68" t="s">
        <v>74</v>
      </c>
      <c r="C327" s="63">
        <v>10807178.33</v>
      </c>
      <c r="D327" s="62">
        <v>1068721865.0537</v>
      </c>
      <c r="E327" s="16">
        <v>722767.34</v>
      </c>
      <c r="F327" s="31">
        <v>2051006074</v>
      </c>
      <c r="G327" s="46"/>
      <c r="H327" s="47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  <c r="CZ327" s="46"/>
      <c r="DA327" s="46"/>
      <c r="DB327" s="46"/>
      <c r="DC327" s="46"/>
      <c r="DD327" s="46"/>
      <c r="DE327" s="46"/>
      <c r="DF327" s="46"/>
      <c r="DG327" s="46"/>
      <c r="DH327" s="46"/>
      <c r="DI327" s="46"/>
      <c r="DJ327" s="46"/>
      <c r="DK327" s="46"/>
      <c r="DL327" s="46"/>
      <c r="DM327" s="46"/>
      <c r="DN327" s="46"/>
      <c r="DO327" s="46"/>
      <c r="DP327" s="46"/>
      <c r="DQ327" s="46"/>
      <c r="DR327" s="46"/>
      <c r="DS327" s="46"/>
      <c r="DT327" s="46"/>
      <c r="DU327" s="46"/>
      <c r="DV327" s="46"/>
      <c r="DW327" s="46"/>
      <c r="DX327" s="46"/>
      <c r="DY327" s="46"/>
      <c r="DZ327" s="46"/>
      <c r="EA327" s="46"/>
      <c r="EB327" s="46"/>
      <c r="EC327" s="46"/>
      <c r="ED327" s="46"/>
      <c r="EE327" s="46"/>
      <c r="EF327" s="46"/>
      <c r="EG327" s="46"/>
      <c r="EH327" s="46"/>
      <c r="EI327" s="46"/>
      <c r="EJ327" s="46"/>
      <c r="EK327" s="46"/>
      <c r="EL327" s="46"/>
      <c r="EM327" s="46"/>
      <c r="EN327" s="46"/>
      <c r="EO327" s="46"/>
      <c r="EP327" s="46"/>
      <c r="EQ327" s="46"/>
      <c r="ER327" s="46"/>
      <c r="ES327" s="46"/>
      <c r="ET327" s="46"/>
      <c r="EU327" s="46"/>
      <c r="EV327" s="46"/>
      <c r="EW327" s="46"/>
      <c r="EX327" s="46"/>
      <c r="EY327" s="46"/>
      <c r="EZ327" s="46"/>
      <c r="FA327" s="46"/>
      <c r="FB327" s="46"/>
      <c r="FC327" s="46"/>
      <c r="FD327" s="46"/>
      <c r="FE327" s="46"/>
      <c r="FF327" s="46"/>
      <c r="FG327" s="46"/>
      <c r="FH327" s="46"/>
      <c r="FI327" s="46"/>
      <c r="FJ327" s="46"/>
      <c r="FK327" s="46"/>
      <c r="FL327" s="46"/>
      <c r="FM327" s="46"/>
      <c r="FN327" s="46"/>
      <c r="FO327" s="46"/>
      <c r="FP327" s="46"/>
      <c r="FQ327" s="46"/>
      <c r="FR327" s="46"/>
      <c r="FS327" s="46"/>
      <c r="FT327" s="46"/>
      <c r="FU327" s="46"/>
      <c r="FV327" s="46"/>
      <c r="FW327" s="46"/>
      <c r="FX327" s="46"/>
      <c r="FY327" s="46"/>
      <c r="FZ327" s="46"/>
      <c r="GA327" s="46"/>
      <c r="GB327" s="46"/>
      <c r="GC327" s="46"/>
      <c r="GD327" s="46"/>
      <c r="GE327" s="46"/>
      <c r="GF327" s="46"/>
      <c r="GG327" s="46"/>
      <c r="GH327" s="46"/>
      <c r="GI327" s="46"/>
      <c r="GJ327" s="46"/>
      <c r="GK327" s="46"/>
      <c r="GL327" s="46"/>
      <c r="GM327" s="46"/>
      <c r="GN327" s="46"/>
      <c r="GO327" s="46"/>
      <c r="GP327" s="46"/>
    </row>
    <row r="328" spans="1:198" ht="15" x14ac:dyDescent="0.2">
      <c r="A328" s="119" t="s">
        <v>158</v>
      </c>
      <c r="B328" s="68" t="s">
        <v>74</v>
      </c>
      <c r="C328" s="63">
        <v>6846297.0099999998</v>
      </c>
      <c r="D328" s="62">
        <v>677030311.31889999</v>
      </c>
      <c r="E328" s="16"/>
      <c r="F328" s="31"/>
      <c r="G328" s="46"/>
      <c r="H328" s="47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  <c r="CI328" s="46"/>
      <c r="CJ328" s="46"/>
      <c r="CK328" s="46"/>
      <c r="CL328" s="46"/>
      <c r="CM328" s="46"/>
      <c r="CN328" s="46"/>
      <c r="CO328" s="46"/>
      <c r="CP328" s="46"/>
      <c r="CQ328" s="46"/>
      <c r="CR328" s="46"/>
      <c r="CS328" s="46"/>
      <c r="CT328" s="46"/>
      <c r="CU328" s="46"/>
      <c r="CV328" s="46"/>
      <c r="CW328" s="46"/>
      <c r="CX328" s="46"/>
      <c r="CY328" s="46"/>
      <c r="CZ328" s="46"/>
      <c r="DA328" s="46"/>
      <c r="DB328" s="46"/>
      <c r="DC328" s="46"/>
      <c r="DD328" s="46"/>
      <c r="DE328" s="46"/>
      <c r="DF328" s="46"/>
      <c r="DG328" s="46"/>
      <c r="DH328" s="46"/>
      <c r="DI328" s="46"/>
      <c r="DJ328" s="46"/>
      <c r="DK328" s="46"/>
      <c r="DL328" s="46"/>
      <c r="DM328" s="46"/>
      <c r="DN328" s="46"/>
      <c r="DO328" s="46"/>
      <c r="DP328" s="46"/>
      <c r="DQ328" s="46"/>
      <c r="DR328" s="46"/>
      <c r="DS328" s="46"/>
      <c r="DT328" s="46"/>
      <c r="DU328" s="46"/>
      <c r="DV328" s="46"/>
      <c r="DW328" s="46"/>
      <c r="DX328" s="46"/>
      <c r="DY328" s="46"/>
      <c r="DZ328" s="46"/>
      <c r="EA328" s="46"/>
      <c r="EB328" s="46"/>
      <c r="EC328" s="46"/>
      <c r="ED328" s="46"/>
      <c r="EE328" s="46"/>
      <c r="EF328" s="46"/>
      <c r="EG328" s="46"/>
      <c r="EH328" s="46"/>
      <c r="EI328" s="46"/>
      <c r="EJ328" s="46"/>
      <c r="EK328" s="46"/>
      <c r="EL328" s="46"/>
      <c r="EM328" s="46"/>
      <c r="EN328" s="46"/>
      <c r="EO328" s="46"/>
      <c r="EP328" s="46"/>
      <c r="EQ328" s="46"/>
      <c r="ER328" s="46"/>
      <c r="ES328" s="46"/>
      <c r="ET328" s="46"/>
      <c r="EU328" s="46"/>
      <c r="EV328" s="46"/>
      <c r="EW328" s="46"/>
      <c r="EX328" s="46"/>
      <c r="EY328" s="46"/>
      <c r="EZ328" s="46"/>
      <c r="FA328" s="46"/>
      <c r="FB328" s="46"/>
      <c r="FC328" s="46"/>
      <c r="FD328" s="46"/>
      <c r="FE328" s="46"/>
      <c r="FF328" s="46"/>
      <c r="FG328" s="46"/>
      <c r="FH328" s="46"/>
      <c r="FI328" s="46"/>
      <c r="FJ328" s="46"/>
      <c r="FK328" s="46"/>
      <c r="FL328" s="46"/>
      <c r="FM328" s="46"/>
      <c r="FN328" s="46"/>
      <c r="FO328" s="46"/>
      <c r="FP328" s="46"/>
      <c r="FQ328" s="46"/>
      <c r="FR328" s="46"/>
      <c r="FS328" s="46"/>
      <c r="FT328" s="46"/>
      <c r="FU328" s="46"/>
      <c r="FV328" s="46"/>
      <c r="FW328" s="46"/>
      <c r="FX328" s="46"/>
      <c r="FY328" s="46"/>
      <c r="FZ328" s="46"/>
      <c r="GA328" s="46"/>
      <c r="GB328" s="46"/>
      <c r="GC328" s="46"/>
      <c r="GD328" s="46"/>
      <c r="GE328" s="46"/>
      <c r="GF328" s="46"/>
      <c r="GG328" s="46"/>
      <c r="GH328" s="46"/>
      <c r="GI328" s="46"/>
      <c r="GJ328" s="46"/>
      <c r="GK328" s="46"/>
      <c r="GL328" s="46"/>
      <c r="GM328" s="46"/>
      <c r="GN328" s="46"/>
      <c r="GO328" s="46"/>
      <c r="GP328" s="46"/>
    </row>
    <row r="329" spans="1:198" ht="15" x14ac:dyDescent="0.2">
      <c r="A329" s="119" t="s">
        <v>325</v>
      </c>
      <c r="B329" s="68" t="s">
        <v>74</v>
      </c>
      <c r="C329" s="63">
        <v>9864949.9600000009</v>
      </c>
      <c r="D329" s="62">
        <v>975544901.5444001</v>
      </c>
      <c r="E329" s="16"/>
      <c r="F329" s="31"/>
      <c r="G329" s="46"/>
      <c r="H329" s="47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  <c r="CI329" s="46"/>
      <c r="CJ329" s="46"/>
      <c r="CK329" s="46"/>
      <c r="CL329" s="46"/>
      <c r="CM329" s="46"/>
      <c r="CN329" s="46"/>
      <c r="CO329" s="46"/>
      <c r="CP329" s="46"/>
      <c r="CQ329" s="46"/>
      <c r="CR329" s="46"/>
      <c r="CS329" s="46"/>
      <c r="CT329" s="46"/>
      <c r="CU329" s="46"/>
      <c r="CV329" s="46"/>
      <c r="CW329" s="46"/>
      <c r="CX329" s="46"/>
      <c r="CY329" s="46"/>
      <c r="CZ329" s="46"/>
      <c r="DA329" s="46"/>
      <c r="DB329" s="46"/>
      <c r="DC329" s="46"/>
      <c r="DD329" s="46"/>
      <c r="DE329" s="46"/>
      <c r="DF329" s="46"/>
      <c r="DG329" s="46"/>
      <c r="DH329" s="46"/>
      <c r="DI329" s="46"/>
      <c r="DJ329" s="46"/>
      <c r="DK329" s="46"/>
      <c r="DL329" s="46"/>
      <c r="DM329" s="46"/>
      <c r="DN329" s="46"/>
      <c r="DO329" s="46"/>
      <c r="DP329" s="46"/>
      <c r="DQ329" s="46"/>
      <c r="DR329" s="46"/>
      <c r="DS329" s="46"/>
      <c r="DT329" s="46"/>
      <c r="DU329" s="46"/>
      <c r="DV329" s="46"/>
      <c r="DW329" s="46"/>
      <c r="DX329" s="46"/>
      <c r="DY329" s="46"/>
      <c r="DZ329" s="46"/>
      <c r="EA329" s="46"/>
      <c r="EB329" s="46"/>
      <c r="EC329" s="46"/>
      <c r="ED329" s="46"/>
      <c r="EE329" s="46"/>
      <c r="EF329" s="46"/>
      <c r="EG329" s="46"/>
      <c r="EH329" s="46"/>
      <c r="EI329" s="46"/>
      <c r="EJ329" s="46"/>
      <c r="EK329" s="46"/>
      <c r="EL329" s="46"/>
      <c r="EM329" s="46"/>
      <c r="EN329" s="46"/>
      <c r="EO329" s="46"/>
      <c r="EP329" s="46"/>
      <c r="EQ329" s="46"/>
      <c r="ER329" s="46"/>
      <c r="ES329" s="46"/>
      <c r="ET329" s="46"/>
      <c r="EU329" s="46"/>
      <c r="EV329" s="46"/>
      <c r="EW329" s="46"/>
      <c r="EX329" s="46"/>
      <c r="EY329" s="46"/>
      <c r="EZ329" s="46"/>
      <c r="FA329" s="46"/>
      <c r="FB329" s="46"/>
      <c r="FC329" s="46"/>
      <c r="FD329" s="46"/>
      <c r="FE329" s="46"/>
      <c r="FF329" s="46"/>
      <c r="FG329" s="46"/>
      <c r="FH329" s="46"/>
      <c r="FI329" s="46"/>
      <c r="FJ329" s="46"/>
      <c r="FK329" s="46"/>
      <c r="FL329" s="46"/>
      <c r="FM329" s="46"/>
      <c r="FN329" s="46"/>
      <c r="FO329" s="46"/>
      <c r="FP329" s="46"/>
      <c r="FQ329" s="46"/>
      <c r="FR329" s="46"/>
      <c r="FS329" s="46"/>
      <c r="FT329" s="46"/>
      <c r="FU329" s="46"/>
      <c r="FV329" s="46"/>
      <c r="FW329" s="46"/>
      <c r="FX329" s="46"/>
      <c r="FY329" s="46"/>
      <c r="FZ329" s="46"/>
      <c r="GA329" s="46"/>
      <c r="GB329" s="46"/>
      <c r="GC329" s="46"/>
      <c r="GD329" s="46"/>
      <c r="GE329" s="46"/>
      <c r="GF329" s="46"/>
      <c r="GG329" s="46"/>
      <c r="GH329" s="46"/>
      <c r="GI329" s="46"/>
      <c r="GJ329" s="46"/>
      <c r="GK329" s="46"/>
      <c r="GL329" s="46"/>
      <c r="GM329" s="46"/>
      <c r="GN329" s="46"/>
      <c r="GO329" s="46"/>
      <c r="GP329" s="46"/>
    </row>
    <row r="330" spans="1:198" ht="15" x14ac:dyDescent="0.2">
      <c r="A330" s="119" t="s">
        <v>278</v>
      </c>
      <c r="B330" s="68" t="s">
        <v>74</v>
      </c>
      <c r="C330" s="63">
        <v>9999781</v>
      </c>
      <c r="D330" s="62">
        <v>988878343.09000003</v>
      </c>
      <c r="E330" s="16"/>
      <c r="F330" s="31"/>
      <c r="G330" s="46"/>
      <c r="H330" s="47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  <c r="CI330" s="46"/>
      <c r="CJ330" s="46"/>
      <c r="CK330" s="46"/>
      <c r="CL330" s="46"/>
      <c r="CM330" s="46"/>
      <c r="CN330" s="46"/>
      <c r="CO330" s="46"/>
      <c r="CP330" s="46"/>
      <c r="CQ330" s="46"/>
      <c r="CR330" s="46"/>
      <c r="CS330" s="46"/>
      <c r="CT330" s="46"/>
      <c r="CU330" s="46"/>
      <c r="CV330" s="46"/>
      <c r="CW330" s="46"/>
      <c r="CX330" s="46"/>
      <c r="CY330" s="46"/>
      <c r="CZ330" s="46"/>
      <c r="DA330" s="46"/>
      <c r="DB330" s="46"/>
      <c r="DC330" s="46"/>
      <c r="DD330" s="46"/>
      <c r="DE330" s="46"/>
      <c r="DF330" s="46"/>
      <c r="DG330" s="46"/>
      <c r="DH330" s="46"/>
      <c r="DI330" s="46"/>
      <c r="DJ330" s="46"/>
      <c r="DK330" s="46"/>
      <c r="DL330" s="46"/>
      <c r="DM330" s="46"/>
      <c r="DN330" s="46"/>
      <c r="DO330" s="46"/>
      <c r="DP330" s="46"/>
      <c r="DQ330" s="46"/>
      <c r="DR330" s="46"/>
      <c r="DS330" s="46"/>
      <c r="DT330" s="46"/>
      <c r="DU330" s="46"/>
      <c r="DV330" s="46"/>
      <c r="DW330" s="46"/>
      <c r="DX330" s="46"/>
      <c r="DY330" s="46"/>
      <c r="DZ330" s="46"/>
      <c r="EA330" s="46"/>
      <c r="EB330" s="46"/>
      <c r="EC330" s="46"/>
      <c r="ED330" s="46"/>
      <c r="EE330" s="46"/>
      <c r="EF330" s="46"/>
      <c r="EG330" s="46"/>
      <c r="EH330" s="46"/>
      <c r="EI330" s="46"/>
      <c r="EJ330" s="46"/>
      <c r="EK330" s="46"/>
      <c r="EL330" s="46"/>
      <c r="EM330" s="46"/>
      <c r="EN330" s="46"/>
      <c r="EO330" s="46"/>
      <c r="EP330" s="46"/>
      <c r="EQ330" s="46"/>
      <c r="ER330" s="46"/>
      <c r="ES330" s="46"/>
      <c r="ET330" s="46"/>
      <c r="EU330" s="46"/>
      <c r="EV330" s="46"/>
      <c r="EW330" s="46"/>
      <c r="EX330" s="46"/>
      <c r="EY330" s="46"/>
      <c r="EZ330" s="46"/>
      <c r="FA330" s="46"/>
      <c r="FB330" s="46"/>
      <c r="FC330" s="46"/>
      <c r="FD330" s="46"/>
      <c r="FE330" s="46"/>
      <c r="FF330" s="46"/>
      <c r="FG330" s="46"/>
      <c r="FH330" s="46"/>
      <c r="FI330" s="46"/>
      <c r="FJ330" s="46"/>
      <c r="FK330" s="46"/>
      <c r="FL330" s="46"/>
      <c r="FM330" s="46"/>
      <c r="FN330" s="46"/>
      <c r="FO330" s="46"/>
      <c r="FP330" s="46"/>
      <c r="FQ330" s="46"/>
      <c r="FR330" s="46"/>
      <c r="FS330" s="46"/>
      <c r="FT330" s="46"/>
      <c r="FU330" s="46"/>
      <c r="FV330" s="46"/>
      <c r="FW330" s="46"/>
      <c r="FX330" s="46"/>
      <c r="FY330" s="46"/>
      <c r="FZ330" s="46"/>
      <c r="GA330" s="46"/>
      <c r="GB330" s="46"/>
      <c r="GC330" s="46"/>
      <c r="GD330" s="46"/>
      <c r="GE330" s="46"/>
      <c r="GF330" s="46"/>
      <c r="GG330" s="46"/>
      <c r="GH330" s="46"/>
      <c r="GI330" s="46"/>
      <c r="GJ330" s="46"/>
      <c r="GK330" s="46"/>
      <c r="GL330" s="46"/>
      <c r="GM330" s="46"/>
      <c r="GN330" s="46"/>
      <c r="GO330" s="46"/>
      <c r="GP330" s="46"/>
    </row>
    <row r="331" spans="1:198" ht="15" x14ac:dyDescent="0.2">
      <c r="A331" s="119" t="s">
        <v>279</v>
      </c>
      <c r="B331" s="68" t="s">
        <v>74</v>
      </c>
      <c r="C331" s="63">
        <v>30000000</v>
      </c>
      <c r="D331" s="62">
        <v>2966700000</v>
      </c>
      <c r="E331" s="16"/>
      <c r="F331" s="31"/>
      <c r="G331" s="46"/>
      <c r="H331" s="47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  <c r="CZ331" s="46"/>
      <c r="DA331" s="46"/>
      <c r="DB331" s="46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46"/>
      <c r="DP331" s="46"/>
      <c r="DQ331" s="46"/>
      <c r="DR331" s="46"/>
      <c r="DS331" s="46"/>
      <c r="DT331" s="46"/>
      <c r="DU331" s="46"/>
      <c r="DV331" s="46"/>
      <c r="DW331" s="46"/>
      <c r="DX331" s="46"/>
      <c r="DY331" s="46"/>
      <c r="DZ331" s="46"/>
      <c r="EA331" s="46"/>
      <c r="EB331" s="46"/>
      <c r="EC331" s="46"/>
      <c r="ED331" s="46"/>
      <c r="EE331" s="46"/>
      <c r="EF331" s="46"/>
      <c r="EG331" s="46"/>
      <c r="EH331" s="46"/>
      <c r="EI331" s="46"/>
      <c r="EJ331" s="46"/>
      <c r="EK331" s="46"/>
      <c r="EL331" s="46"/>
      <c r="EM331" s="46"/>
      <c r="EN331" s="46"/>
      <c r="EO331" s="46"/>
      <c r="EP331" s="46"/>
      <c r="EQ331" s="46"/>
      <c r="ER331" s="46"/>
      <c r="ES331" s="46"/>
      <c r="ET331" s="46"/>
      <c r="EU331" s="46"/>
      <c r="EV331" s="46"/>
      <c r="EW331" s="46"/>
      <c r="EX331" s="46"/>
      <c r="EY331" s="46"/>
      <c r="EZ331" s="46"/>
      <c r="FA331" s="46"/>
      <c r="FB331" s="46"/>
      <c r="FC331" s="46"/>
      <c r="FD331" s="46"/>
      <c r="FE331" s="46"/>
      <c r="FF331" s="46"/>
      <c r="FG331" s="46"/>
      <c r="FH331" s="46"/>
      <c r="FI331" s="46"/>
      <c r="FJ331" s="46"/>
      <c r="FK331" s="46"/>
      <c r="FL331" s="46"/>
      <c r="FM331" s="46"/>
      <c r="FN331" s="46"/>
      <c r="FO331" s="46"/>
      <c r="FP331" s="46"/>
      <c r="FQ331" s="46"/>
      <c r="FR331" s="46"/>
      <c r="FS331" s="46"/>
      <c r="FT331" s="46"/>
      <c r="FU331" s="46"/>
      <c r="FV331" s="46"/>
      <c r="FW331" s="46"/>
      <c r="FX331" s="46"/>
      <c r="FY331" s="46"/>
      <c r="FZ331" s="46"/>
      <c r="GA331" s="46"/>
      <c r="GB331" s="46"/>
      <c r="GC331" s="46"/>
      <c r="GD331" s="46"/>
      <c r="GE331" s="46"/>
      <c r="GF331" s="46"/>
      <c r="GG331" s="46"/>
      <c r="GH331" s="46"/>
      <c r="GI331" s="46"/>
      <c r="GJ331" s="46"/>
      <c r="GK331" s="46"/>
      <c r="GL331" s="46"/>
      <c r="GM331" s="46"/>
      <c r="GN331" s="46"/>
      <c r="GO331" s="46"/>
      <c r="GP331" s="46"/>
    </row>
    <row r="332" spans="1:198" ht="15" x14ac:dyDescent="0.2">
      <c r="A332" s="119" t="s">
        <v>280</v>
      </c>
      <c r="B332" s="68" t="s">
        <v>74</v>
      </c>
      <c r="C332" s="63">
        <v>38176025.700000003</v>
      </c>
      <c r="D332" s="62">
        <v>3775227181.4730005</v>
      </c>
      <c r="E332" s="16"/>
      <c r="F332" s="31"/>
      <c r="G332" s="46"/>
      <c r="H332" s="47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  <c r="CM332" s="46"/>
      <c r="CN332" s="46"/>
      <c r="CO332" s="46"/>
      <c r="CP332" s="46"/>
      <c r="CQ332" s="46"/>
      <c r="CR332" s="46"/>
      <c r="CS332" s="46"/>
      <c r="CT332" s="46"/>
      <c r="CU332" s="46"/>
      <c r="CV332" s="46"/>
      <c r="CW332" s="46"/>
      <c r="CX332" s="46"/>
      <c r="CY332" s="46"/>
      <c r="CZ332" s="46"/>
      <c r="DA332" s="46"/>
      <c r="DB332" s="46"/>
      <c r="DC332" s="46"/>
      <c r="DD332" s="46"/>
      <c r="DE332" s="46"/>
      <c r="DF332" s="46"/>
      <c r="DG332" s="46"/>
      <c r="DH332" s="46"/>
      <c r="DI332" s="46"/>
      <c r="DJ332" s="46"/>
      <c r="DK332" s="46"/>
      <c r="DL332" s="46"/>
      <c r="DM332" s="46"/>
      <c r="DN332" s="46"/>
      <c r="DO332" s="46"/>
      <c r="DP332" s="46"/>
      <c r="DQ332" s="46"/>
      <c r="DR332" s="46"/>
      <c r="DS332" s="46"/>
      <c r="DT332" s="46"/>
      <c r="DU332" s="46"/>
      <c r="DV332" s="46"/>
      <c r="DW332" s="46"/>
      <c r="DX332" s="46"/>
      <c r="DY332" s="46"/>
      <c r="DZ332" s="46"/>
      <c r="EA332" s="46"/>
      <c r="EB332" s="46"/>
      <c r="EC332" s="46"/>
      <c r="ED332" s="46"/>
      <c r="EE332" s="46"/>
      <c r="EF332" s="46"/>
      <c r="EG332" s="46"/>
      <c r="EH332" s="46"/>
      <c r="EI332" s="46"/>
      <c r="EJ332" s="46"/>
      <c r="EK332" s="46"/>
      <c r="EL332" s="46"/>
      <c r="EM332" s="46"/>
      <c r="EN332" s="46"/>
      <c r="EO332" s="46"/>
      <c r="EP332" s="46"/>
      <c r="EQ332" s="46"/>
      <c r="ER332" s="46"/>
      <c r="ES332" s="46"/>
      <c r="ET332" s="46"/>
      <c r="EU332" s="46"/>
      <c r="EV332" s="46"/>
      <c r="EW332" s="46"/>
      <c r="EX332" s="46"/>
      <c r="EY332" s="46"/>
      <c r="EZ332" s="46"/>
      <c r="FA332" s="46"/>
      <c r="FB332" s="46"/>
      <c r="FC332" s="46"/>
      <c r="FD332" s="46"/>
      <c r="FE332" s="46"/>
      <c r="FF332" s="46"/>
      <c r="FG332" s="46"/>
      <c r="FH332" s="46"/>
      <c r="FI332" s="46"/>
      <c r="FJ332" s="46"/>
      <c r="FK332" s="46"/>
      <c r="FL332" s="46"/>
      <c r="FM332" s="46"/>
      <c r="FN332" s="46"/>
      <c r="FO332" s="46"/>
      <c r="FP332" s="46"/>
      <c r="FQ332" s="46"/>
      <c r="FR332" s="46"/>
      <c r="FS332" s="46"/>
      <c r="FT332" s="46"/>
      <c r="FU332" s="46"/>
      <c r="FV332" s="46"/>
      <c r="FW332" s="46"/>
      <c r="FX332" s="46"/>
      <c r="FY332" s="46"/>
      <c r="FZ332" s="46"/>
      <c r="GA332" s="46"/>
      <c r="GB332" s="46"/>
      <c r="GC332" s="46"/>
      <c r="GD332" s="46"/>
      <c r="GE332" s="46"/>
      <c r="GF332" s="46"/>
      <c r="GG332" s="46"/>
      <c r="GH332" s="46"/>
      <c r="GI332" s="46"/>
      <c r="GJ332" s="46"/>
      <c r="GK332" s="46"/>
      <c r="GL332" s="46"/>
      <c r="GM332" s="46"/>
      <c r="GN332" s="46"/>
      <c r="GO332" s="46"/>
      <c r="GP332" s="46"/>
    </row>
    <row r="333" spans="1:198" ht="15" x14ac:dyDescent="0.2">
      <c r="A333" s="119" t="s">
        <v>281</v>
      </c>
      <c r="B333" s="68" t="s">
        <v>74</v>
      </c>
      <c r="C333" s="63">
        <v>7108207.8799999999</v>
      </c>
      <c r="D333" s="62">
        <v>702930677.25319993</v>
      </c>
      <c r="E333" s="16"/>
      <c r="F333" s="31"/>
      <c r="G333" s="46"/>
      <c r="H333" s="47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  <c r="CZ333" s="46"/>
      <c r="DA333" s="46"/>
      <c r="DB333" s="46"/>
      <c r="DC333" s="46"/>
      <c r="DD333" s="46"/>
      <c r="DE333" s="46"/>
      <c r="DF333" s="46"/>
      <c r="DG333" s="46"/>
      <c r="DH333" s="46"/>
      <c r="DI333" s="46"/>
      <c r="DJ333" s="46"/>
      <c r="DK333" s="46"/>
      <c r="DL333" s="46"/>
      <c r="DM333" s="46"/>
      <c r="DN333" s="46"/>
      <c r="DO333" s="46"/>
      <c r="DP333" s="46"/>
      <c r="DQ333" s="46"/>
      <c r="DR333" s="46"/>
      <c r="DS333" s="46"/>
      <c r="DT333" s="46"/>
      <c r="DU333" s="46"/>
      <c r="DV333" s="46"/>
      <c r="DW333" s="46"/>
      <c r="DX333" s="46"/>
      <c r="DY333" s="46"/>
      <c r="DZ333" s="46"/>
      <c r="EA333" s="46"/>
      <c r="EB333" s="46"/>
      <c r="EC333" s="46"/>
      <c r="ED333" s="46"/>
      <c r="EE333" s="46"/>
      <c r="EF333" s="46"/>
      <c r="EG333" s="46"/>
      <c r="EH333" s="46"/>
      <c r="EI333" s="46"/>
      <c r="EJ333" s="46"/>
      <c r="EK333" s="46"/>
      <c r="EL333" s="46"/>
      <c r="EM333" s="46"/>
      <c r="EN333" s="46"/>
      <c r="EO333" s="46"/>
      <c r="EP333" s="46"/>
      <c r="EQ333" s="46"/>
      <c r="ER333" s="46"/>
      <c r="ES333" s="46"/>
      <c r="ET333" s="46"/>
      <c r="EU333" s="46"/>
      <c r="EV333" s="46"/>
      <c r="EW333" s="46"/>
      <c r="EX333" s="46"/>
      <c r="EY333" s="46"/>
      <c r="EZ333" s="46"/>
      <c r="FA333" s="46"/>
      <c r="FB333" s="46"/>
      <c r="FC333" s="46"/>
      <c r="FD333" s="46"/>
      <c r="FE333" s="46"/>
      <c r="FF333" s="46"/>
      <c r="FG333" s="46"/>
      <c r="FH333" s="46"/>
      <c r="FI333" s="46"/>
      <c r="FJ333" s="46"/>
      <c r="FK333" s="46"/>
      <c r="FL333" s="46"/>
      <c r="FM333" s="46"/>
      <c r="FN333" s="46"/>
      <c r="FO333" s="46"/>
      <c r="FP333" s="46"/>
      <c r="FQ333" s="46"/>
      <c r="FR333" s="46"/>
      <c r="FS333" s="46"/>
      <c r="FT333" s="46"/>
      <c r="FU333" s="46"/>
      <c r="FV333" s="46"/>
      <c r="FW333" s="46"/>
      <c r="FX333" s="46"/>
      <c r="FY333" s="46"/>
      <c r="FZ333" s="46"/>
      <c r="GA333" s="46"/>
      <c r="GB333" s="46"/>
      <c r="GC333" s="46"/>
      <c r="GD333" s="46"/>
      <c r="GE333" s="46"/>
      <c r="GF333" s="46"/>
      <c r="GG333" s="46"/>
      <c r="GH333" s="46"/>
      <c r="GI333" s="46"/>
      <c r="GJ333" s="46"/>
      <c r="GK333" s="46"/>
      <c r="GL333" s="46"/>
      <c r="GM333" s="46"/>
      <c r="GN333" s="46"/>
      <c r="GO333" s="46"/>
      <c r="GP333" s="46"/>
    </row>
    <row r="334" spans="1:198" ht="15" x14ac:dyDescent="0.2">
      <c r="A334" s="119" t="s">
        <v>282</v>
      </c>
      <c r="B334" s="68" t="s">
        <v>74</v>
      </c>
      <c r="C334" s="63">
        <v>60000000</v>
      </c>
      <c r="D334" s="62">
        <v>5933400000</v>
      </c>
      <c r="E334" s="16"/>
      <c r="F334" s="31"/>
      <c r="G334" s="46"/>
      <c r="H334" s="47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  <c r="CM334" s="46"/>
      <c r="CN334" s="46"/>
      <c r="CO334" s="46"/>
      <c r="CP334" s="46"/>
      <c r="CQ334" s="46"/>
      <c r="CR334" s="46"/>
      <c r="CS334" s="46"/>
      <c r="CT334" s="46"/>
      <c r="CU334" s="46"/>
      <c r="CV334" s="46"/>
      <c r="CW334" s="46"/>
      <c r="CX334" s="46"/>
      <c r="CY334" s="46"/>
      <c r="CZ334" s="46"/>
      <c r="DA334" s="46"/>
      <c r="DB334" s="46"/>
      <c r="DC334" s="46"/>
      <c r="DD334" s="46"/>
      <c r="DE334" s="46"/>
      <c r="DF334" s="46"/>
      <c r="DG334" s="46"/>
      <c r="DH334" s="46"/>
      <c r="DI334" s="46"/>
      <c r="DJ334" s="46"/>
      <c r="DK334" s="46"/>
      <c r="DL334" s="46"/>
      <c r="DM334" s="46"/>
      <c r="DN334" s="46"/>
      <c r="DO334" s="46"/>
      <c r="DP334" s="46"/>
      <c r="DQ334" s="46"/>
      <c r="DR334" s="46"/>
      <c r="DS334" s="46"/>
      <c r="DT334" s="46"/>
      <c r="DU334" s="46"/>
      <c r="DV334" s="46"/>
      <c r="DW334" s="46"/>
      <c r="DX334" s="46"/>
      <c r="DY334" s="46"/>
      <c r="DZ334" s="46"/>
      <c r="EA334" s="46"/>
      <c r="EB334" s="46"/>
      <c r="EC334" s="46"/>
      <c r="ED334" s="46"/>
      <c r="EE334" s="46"/>
      <c r="EF334" s="46"/>
      <c r="EG334" s="46"/>
      <c r="EH334" s="46"/>
      <c r="EI334" s="46"/>
      <c r="EJ334" s="46"/>
      <c r="EK334" s="46"/>
      <c r="EL334" s="46"/>
      <c r="EM334" s="46"/>
      <c r="EN334" s="46"/>
      <c r="EO334" s="46"/>
      <c r="EP334" s="46"/>
      <c r="EQ334" s="46"/>
      <c r="ER334" s="46"/>
      <c r="ES334" s="46"/>
      <c r="ET334" s="46"/>
      <c r="EU334" s="46"/>
      <c r="EV334" s="46"/>
      <c r="EW334" s="46"/>
      <c r="EX334" s="46"/>
      <c r="EY334" s="46"/>
      <c r="EZ334" s="46"/>
      <c r="FA334" s="46"/>
      <c r="FB334" s="46"/>
      <c r="FC334" s="46"/>
      <c r="FD334" s="46"/>
      <c r="FE334" s="46"/>
      <c r="FF334" s="46"/>
      <c r="FG334" s="46"/>
      <c r="FH334" s="46"/>
      <c r="FI334" s="46"/>
      <c r="FJ334" s="46"/>
      <c r="FK334" s="46"/>
      <c r="FL334" s="46"/>
      <c r="FM334" s="46"/>
      <c r="FN334" s="46"/>
      <c r="FO334" s="46"/>
      <c r="FP334" s="46"/>
      <c r="FQ334" s="46"/>
      <c r="FR334" s="46"/>
      <c r="FS334" s="46"/>
      <c r="FT334" s="46"/>
      <c r="FU334" s="46"/>
      <c r="FV334" s="46"/>
      <c r="FW334" s="46"/>
      <c r="FX334" s="46"/>
      <c r="FY334" s="46"/>
      <c r="FZ334" s="46"/>
      <c r="GA334" s="46"/>
      <c r="GB334" s="46"/>
      <c r="GC334" s="46"/>
      <c r="GD334" s="46"/>
      <c r="GE334" s="46"/>
      <c r="GF334" s="46"/>
      <c r="GG334" s="46"/>
      <c r="GH334" s="46"/>
      <c r="GI334" s="46"/>
      <c r="GJ334" s="46"/>
      <c r="GK334" s="46"/>
      <c r="GL334" s="46"/>
      <c r="GM334" s="46"/>
      <c r="GN334" s="46"/>
      <c r="GO334" s="46"/>
      <c r="GP334" s="46"/>
    </row>
    <row r="335" spans="1:198" ht="15" x14ac:dyDescent="0.2">
      <c r="A335" s="119" t="s">
        <v>283</v>
      </c>
      <c r="B335" s="68" t="s">
        <v>74</v>
      </c>
      <c r="C335" s="63">
        <v>30000000</v>
      </c>
      <c r="D335" s="62">
        <v>2966700000</v>
      </c>
      <c r="E335" s="16"/>
      <c r="F335" s="31"/>
      <c r="G335" s="46"/>
      <c r="H335" s="47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  <c r="CM335" s="46"/>
      <c r="CN335" s="46"/>
      <c r="CO335" s="46"/>
      <c r="CP335" s="46"/>
      <c r="CQ335" s="46"/>
      <c r="CR335" s="46"/>
      <c r="CS335" s="46"/>
      <c r="CT335" s="46"/>
      <c r="CU335" s="46"/>
      <c r="CV335" s="46"/>
      <c r="CW335" s="46"/>
      <c r="CX335" s="46"/>
      <c r="CY335" s="46"/>
      <c r="CZ335" s="46"/>
      <c r="DA335" s="46"/>
      <c r="DB335" s="46"/>
      <c r="DC335" s="46"/>
      <c r="DD335" s="46"/>
      <c r="DE335" s="46"/>
      <c r="DF335" s="46"/>
      <c r="DG335" s="46"/>
      <c r="DH335" s="46"/>
      <c r="DI335" s="46"/>
      <c r="DJ335" s="46"/>
      <c r="DK335" s="46"/>
      <c r="DL335" s="46"/>
      <c r="DM335" s="46"/>
      <c r="DN335" s="46"/>
      <c r="DO335" s="46"/>
      <c r="DP335" s="46"/>
      <c r="DQ335" s="46"/>
      <c r="DR335" s="46"/>
      <c r="DS335" s="46"/>
      <c r="DT335" s="46"/>
      <c r="DU335" s="46"/>
      <c r="DV335" s="46"/>
      <c r="DW335" s="46"/>
      <c r="DX335" s="46"/>
      <c r="DY335" s="46"/>
      <c r="DZ335" s="46"/>
      <c r="EA335" s="46"/>
      <c r="EB335" s="46"/>
      <c r="EC335" s="46"/>
      <c r="ED335" s="46"/>
      <c r="EE335" s="46"/>
      <c r="EF335" s="46"/>
      <c r="EG335" s="46"/>
      <c r="EH335" s="46"/>
      <c r="EI335" s="46"/>
      <c r="EJ335" s="46"/>
      <c r="EK335" s="46"/>
      <c r="EL335" s="46"/>
      <c r="EM335" s="46"/>
      <c r="EN335" s="46"/>
      <c r="EO335" s="46"/>
      <c r="EP335" s="46"/>
      <c r="EQ335" s="46"/>
      <c r="ER335" s="46"/>
      <c r="ES335" s="46"/>
      <c r="ET335" s="46"/>
      <c r="EU335" s="46"/>
      <c r="EV335" s="46"/>
      <c r="EW335" s="46"/>
      <c r="EX335" s="46"/>
      <c r="EY335" s="46"/>
      <c r="EZ335" s="46"/>
      <c r="FA335" s="46"/>
      <c r="FB335" s="46"/>
      <c r="FC335" s="46"/>
      <c r="FD335" s="46"/>
      <c r="FE335" s="46"/>
      <c r="FF335" s="46"/>
      <c r="FG335" s="46"/>
      <c r="FH335" s="46"/>
      <c r="FI335" s="46"/>
      <c r="FJ335" s="46"/>
      <c r="FK335" s="46"/>
      <c r="FL335" s="46"/>
      <c r="FM335" s="46"/>
      <c r="FN335" s="46"/>
      <c r="FO335" s="46"/>
      <c r="FP335" s="46"/>
      <c r="FQ335" s="46"/>
      <c r="FR335" s="46"/>
      <c r="FS335" s="46"/>
      <c r="FT335" s="46"/>
      <c r="FU335" s="46"/>
      <c r="FV335" s="46"/>
      <c r="FW335" s="46"/>
      <c r="FX335" s="46"/>
      <c r="FY335" s="46"/>
      <c r="FZ335" s="46"/>
      <c r="GA335" s="46"/>
      <c r="GB335" s="46"/>
      <c r="GC335" s="46"/>
      <c r="GD335" s="46"/>
      <c r="GE335" s="46"/>
      <c r="GF335" s="46"/>
      <c r="GG335" s="46"/>
      <c r="GH335" s="46"/>
      <c r="GI335" s="46"/>
      <c r="GJ335" s="46"/>
      <c r="GK335" s="46"/>
      <c r="GL335" s="46"/>
      <c r="GM335" s="46"/>
      <c r="GN335" s="46"/>
      <c r="GO335" s="46"/>
      <c r="GP335" s="46"/>
    </row>
    <row r="336" spans="1:198" ht="15" x14ac:dyDescent="0.2">
      <c r="A336" s="119" t="s">
        <v>284</v>
      </c>
      <c r="B336" s="68" t="s">
        <v>74</v>
      </c>
      <c r="C336" s="63">
        <v>9113530.7300000004</v>
      </c>
      <c r="D336" s="62">
        <v>901237053.88970006</v>
      </c>
      <c r="E336" s="16"/>
      <c r="F336" s="31"/>
      <c r="G336" s="46"/>
      <c r="H336" s="47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  <c r="CM336" s="46"/>
      <c r="CN336" s="46"/>
      <c r="CO336" s="46"/>
      <c r="CP336" s="46"/>
      <c r="CQ336" s="46"/>
      <c r="CR336" s="46"/>
      <c r="CS336" s="46"/>
      <c r="CT336" s="46"/>
      <c r="CU336" s="46"/>
      <c r="CV336" s="46"/>
      <c r="CW336" s="46"/>
      <c r="CX336" s="46"/>
      <c r="CY336" s="46"/>
      <c r="CZ336" s="46"/>
      <c r="DA336" s="46"/>
      <c r="DB336" s="46"/>
      <c r="DC336" s="46"/>
      <c r="DD336" s="46"/>
      <c r="DE336" s="46"/>
      <c r="DF336" s="46"/>
      <c r="DG336" s="46"/>
      <c r="DH336" s="46"/>
      <c r="DI336" s="46"/>
      <c r="DJ336" s="46"/>
      <c r="DK336" s="46"/>
      <c r="DL336" s="46"/>
      <c r="DM336" s="46"/>
      <c r="DN336" s="46"/>
      <c r="DO336" s="46"/>
      <c r="DP336" s="46"/>
      <c r="DQ336" s="46"/>
      <c r="DR336" s="46"/>
      <c r="DS336" s="46"/>
      <c r="DT336" s="46"/>
      <c r="DU336" s="46"/>
      <c r="DV336" s="46"/>
      <c r="DW336" s="46"/>
      <c r="DX336" s="46"/>
      <c r="DY336" s="46"/>
      <c r="DZ336" s="46"/>
      <c r="EA336" s="46"/>
      <c r="EB336" s="46"/>
      <c r="EC336" s="46"/>
      <c r="ED336" s="46"/>
      <c r="EE336" s="46"/>
      <c r="EF336" s="46"/>
      <c r="EG336" s="46"/>
      <c r="EH336" s="46"/>
      <c r="EI336" s="46"/>
      <c r="EJ336" s="46"/>
      <c r="EK336" s="46"/>
      <c r="EL336" s="46"/>
      <c r="EM336" s="46"/>
      <c r="EN336" s="46"/>
      <c r="EO336" s="46"/>
      <c r="EP336" s="46"/>
      <c r="EQ336" s="46"/>
      <c r="ER336" s="46"/>
      <c r="ES336" s="46"/>
      <c r="ET336" s="46"/>
      <c r="EU336" s="46"/>
      <c r="EV336" s="46"/>
      <c r="EW336" s="46"/>
      <c r="EX336" s="46"/>
      <c r="EY336" s="46"/>
      <c r="EZ336" s="46"/>
      <c r="FA336" s="46"/>
      <c r="FB336" s="46"/>
      <c r="FC336" s="46"/>
      <c r="FD336" s="46"/>
      <c r="FE336" s="46"/>
      <c r="FF336" s="46"/>
      <c r="FG336" s="46"/>
      <c r="FH336" s="46"/>
      <c r="FI336" s="46"/>
      <c r="FJ336" s="46"/>
      <c r="FK336" s="46"/>
      <c r="FL336" s="46"/>
      <c r="FM336" s="46"/>
      <c r="FN336" s="46"/>
      <c r="FO336" s="46"/>
      <c r="FP336" s="46"/>
      <c r="FQ336" s="46"/>
      <c r="FR336" s="46"/>
      <c r="FS336" s="46"/>
      <c r="FT336" s="46"/>
      <c r="FU336" s="46"/>
      <c r="FV336" s="46"/>
      <c r="FW336" s="46"/>
      <c r="FX336" s="46"/>
      <c r="FY336" s="46"/>
      <c r="FZ336" s="46"/>
      <c r="GA336" s="46"/>
      <c r="GB336" s="46"/>
      <c r="GC336" s="46"/>
      <c r="GD336" s="46"/>
      <c r="GE336" s="46"/>
      <c r="GF336" s="46"/>
      <c r="GG336" s="46"/>
      <c r="GH336" s="46"/>
      <c r="GI336" s="46"/>
      <c r="GJ336" s="46"/>
      <c r="GK336" s="46"/>
      <c r="GL336" s="46"/>
      <c r="GM336" s="46"/>
      <c r="GN336" s="46"/>
      <c r="GO336" s="46"/>
      <c r="GP336" s="46"/>
    </row>
    <row r="337" spans="1:198" ht="15" x14ac:dyDescent="0.2">
      <c r="A337" s="119" t="s">
        <v>285</v>
      </c>
      <c r="B337" s="68" t="s">
        <v>74</v>
      </c>
      <c r="C337" s="63">
        <v>24538044.460000001</v>
      </c>
      <c r="D337" s="62">
        <v>2426567216.6494002</v>
      </c>
      <c r="E337" s="16"/>
      <c r="F337" s="31"/>
      <c r="G337" s="46"/>
      <c r="H337" s="47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  <c r="CM337" s="46"/>
      <c r="CN337" s="46"/>
      <c r="CO337" s="46"/>
      <c r="CP337" s="46"/>
      <c r="CQ337" s="46"/>
      <c r="CR337" s="46"/>
      <c r="CS337" s="46"/>
      <c r="CT337" s="46"/>
      <c r="CU337" s="46"/>
      <c r="CV337" s="46"/>
      <c r="CW337" s="46"/>
      <c r="CX337" s="46"/>
      <c r="CY337" s="46"/>
      <c r="CZ337" s="46"/>
      <c r="DA337" s="46"/>
      <c r="DB337" s="46"/>
      <c r="DC337" s="46"/>
      <c r="DD337" s="46"/>
      <c r="DE337" s="46"/>
      <c r="DF337" s="46"/>
      <c r="DG337" s="46"/>
      <c r="DH337" s="46"/>
      <c r="DI337" s="46"/>
      <c r="DJ337" s="46"/>
      <c r="DK337" s="46"/>
      <c r="DL337" s="46"/>
      <c r="DM337" s="46"/>
      <c r="DN337" s="46"/>
      <c r="DO337" s="46"/>
      <c r="DP337" s="46"/>
      <c r="DQ337" s="46"/>
      <c r="DR337" s="46"/>
      <c r="DS337" s="46"/>
      <c r="DT337" s="46"/>
      <c r="DU337" s="46"/>
      <c r="DV337" s="46"/>
      <c r="DW337" s="46"/>
      <c r="DX337" s="46"/>
      <c r="DY337" s="46"/>
      <c r="DZ337" s="46"/>
      <c r="EA337" s="46"/>
      <c r="EB337" s="46"/>
      <c r="EC337" s="46"/>
      <c r="ED337" s="46"/>
      <c r="EE337" s="46"/>
      <c r="EF337" s="46"/>
      <c r="EG337" s="46"/>
      <c r="EH337" s="46"/>
      <c r="EI337" s="46"/>
      <c r="EJ337" s="46"/>
      <c r="EK337" s="46"/>
      <c r="EL337" s="46"/>
      <c r="EM337" s="46"/>
      <c r="EN337" s="46"/>
      <c r="EO337" s="46"/>
      <c r="EP337" s="46"/>
      <c r="EQ337" s="46"/>
      <c r="ER337" s="46"/>
      <c r="ES337" s="46"/>
      <c r="ET337" s="46"/>
      <c r="EU337" s="46"/>
      <c r="EV337" s="46"/>
      <c r="EW337" s="46"/>
      <c r="EX337" s="46"/>
      <c r="EY337" s="46"/>
      <c r="EZ337" s="46"/>
      <c r="FA337" s="46"/>
      <c r="FB337" s="46"/>
      <c r="FC337" s="46"/>
      <c r="FD337" s="46"/>
      <c r="FE337" s="46"/>
      <c r="FF337" s="46"/>
      <c r="FG337" s="46"/>
      <c r="FH337" s="46"/>
      <c r="FI337" s="46"/>
      <c r="FJ337" s="46"/>
      <c r="FK337" s="46"/>
      <c r="FL337" s="46"/>
      <c r="FM337" s="46"/>
      <c r="FN337" s="46"/>
      <c r="FO337" s="46"/>
      <c r="FP337" s="46"/>
      <c r="FQ337" s="46"/>
      <c r="FR337" s="46"/>
      <c r="FS337" s="46"/>
      <c r="FT337" s="46"/>
      <c r="FU337" s="46"/>
      <c r="FV337" s="46"/>
      <c r="FW337" s="46"/>
      <c r="FX337" s="46"/>
      <c r="FY337" s="46"/>
      <c r="FZ337" s="46"/>
      <c r="GA337" s="46"/>
      <c r="GB337" s="46"/>
      <c r="GC337" s="46"/>
      <c r="GD337" s="46"/>
      <c r="GE337" s="46"/>
      <c r="GF337" s="46"/>
      <c r="GG337" s="46"/>
      <c r="GH337" s="46"/>
      <c r="GI337" s="46"/>
      <c r="GJ337" s="46"/>
      <c r="GK337" s="46"/>
      <c r="GL337" s="46"/>
      <c r="GM337" s="46"/>
      <c r="GN337" s="46"/>
      <c r="GO337" s="46"/>
      <c r="GP337" s="46"/>
    </row>
    <row r="338" spans="1:198" ht="15" x14ac:dyDescent="0.2">
      <c r="A338" s="119" t="s">
        <v>324</v>
      </c>
      <c r="B338" s="68" t="s">
        <v>74</v>
      </c>
      <c r="C338" s="63">
        <v>13125000</v>
      </c>
      <c r="D338" s="62">
        <v>1297931250</v>
      </c>
      <c r="E338" s="16"/>
      <c r="F338" s="31"/>
      <c r="G338" s="46"/>
      <c r="H338" s="47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  <c r="BP338" s="46"/>
      <c r="BQ338" s="46"/>
      <c r="BR338" s="46"/>
      <c r="BS338" s="46"/>
      <c r="BT338" s="46"/>
      <c r="BU338" s="46"/>
      <c r="BV338" s="46"/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  <c r="CI338" s="46"/>
      <c r="CJ338" s="46"/>
      <c r="CK338" s="46"/>
      <c r="CL338" s="46"/>
      <c r="CM338" s="46"/>
      <c r="CN338" s="46"/>
      <c r="CO338" s="46"/>
      <c r="CP338" s="46"/>
      <c r="CQ338" s="46"/>
      <c r="CR338" s="46"/>
      <c r="CS338" s="46"/>
      <c r="CT338" s="46"/>
      <c r="CU338" s="46"/>
      <c r="CV338" s="46"/>
      <c r="CW338" s="46"/>
      <c r="CX338" s="46"/>
      <c r="CY338" s="46"/>
      <c r="CZ338" s="46"/>
      <c r="DA338" s="46"/>
      <c r="DB338" s="46"/>
      <c r="DC338" s="46"/>
      <c r="DD338" s="46"/>
      <c r="DE338" s="46"/>
      <c r="DF338" s="46"/>
      <c r="DG338" s="46"/>
      <c r="DH338" s="46"/>
      <c r="DI338" s="46"/>
      <c r="DJ338" s="46"/>
      <c r="DK338" s="46"/>
      <c r="DL338" s="46"/>
      <c r="DM338" s="46"/>
      <c r="DN338" s="46"/>
      <c r="DO338" s="46"/>
      <c r="DP338" s="46"/>
      <c r="DQ338" s="46"/>
      <c r="DR338" s="46"/>
      <c r="DS338" s="46"/>
      <c r="DT338" s="46"/>
      <c r="DU338" s="46"/>
      <c r="DV338" s="46"/>
      <c r="DW338" s="46"/>
      <c r="DX338" s="46"/>
      <c r="DY338" s="46"/>
      <c r="DZ338" s="46"/>
      <c r="EA338" s="46"/>
      <c r="EB338" s="46"/>
      <c r="EC338" s="46"/>
      <c r="ED338" s="46"/>
      <c r="EE338" s="46"/>
      <c r="EF338" s="46"/>
      <c r="EG338" s="46"/>
      <c r="EH338" s="46"/>
      <c r="EI338" s="46"/>
      <c r="EJ338" s="46"/>
      <c r="EK338" s="46"/>
      <c r="EL338" s="46"/>
      <c r="EM338" s="46"/>
      <c r="EN338" s="46"/>
      <c r="EO338" s="46"/>
      <c r="EP338" s="46"/>
      <c r="EQ338" s="46"/>
      <c r="ER338" s="46"/>
      <c r="ES338" s="46"/>
      <c r="ET338" s="46"/>
      <c r="EU338" s="46"/>
      <c r="EV338" s="46"/>
      <c r="EW338" s="46"/>
      <c r="EX338" s="46"/>
      <c r="EY338" s="46"/>
      <c r="EZ338" s="46"/>
      <c r="FA338" s="46"/>
      <c r="FB338" s="46"/>
      <c r="FC338" s="46"/>
      <c r="FD338" s="46"/>
      <c r="FE338" s="46"/>
      <c r="FF338" s="46"/>
      <c r="FG338" s="46"/>
      <c r="FH338" s="46"/>
      <c r="FI338" s="46"/>
      <c r="FJ338" s="46"/>
      <c r="FK338" s="46"/>
      <c r="FL338" s="46"/>
      <c r="FM338" s="46"/>
      <c r="FN338" s="46"/>
      <c r="FO338" s="46"/>
      <c r="FP338" s="46"/>
      <c r="FQ338" s="46"/>
      <c r="FR338" s="46"/>
      <c r="FS338" s="46"/>
      <c r="FT338" s="46"/>
      <c r="FU338" s="46"/>
      <c r="FV338" s="46"/>
      <c r="FW338" s="46"/>
      <c r="FX338" s="46"/>
      <c r="FY338" s="46"/>
      <c r="FZ338" s="46"/>
      <c r="GA338" s="46"/>
      <c r="GB338" s="46"/>
      <c r="GC338" s="46"/>
      <c r="GD338" s="46"/>
      <c r="GE338" s="46"/>
      <c r="GF338" s="46"/>
      <c r="GG338" s="46"/>
      <c r="GH338" s="46"/>
      <c r="GI338" s="46"/>
      <c r="GJ338" s="46"/>
      <c r="GK338" s="46"/>
      <c r="GL338" s="46"/>
      <c r="GM338" s="46"/>
      <c r="GN338" s="46"/>
      <c r="GO338" s="46"/>
      <c r="GP338" s="46"/>
    </row>
    <row r="339" spans="1:198" ht="15" x14ac:dyDescent="0.2">
      <c r="A339" s="119" t="s">
        <v>316</v>
      </c>
      <c r="B339" s="68" t="s">
        <v>74</v>
      </c>
      <c r="C339" s="63">
        <v>20775351.350000001</v>
      </c>
      <c r="D339" s="62">
        <v>2054474495.0015001</v>
      </c>
      <c r="E339" s="16"/>
      <c r="F339" s="31"/>
      <c r="G339" s="46"/>
      <c r="H339" s="47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  <c r="BP339" s="46"/>
      <c r="BQ339" s="46"/>
      <c r="BR339" s="46"/>
      <c r="BS339" s="46"/>
      <c r="BT339" s="46"/>
      <c r="BU339" s="46"/>
      <c r="BV339" s="46"/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  <c r="CI339" s="46"/>
      <c r="CJ339" s="46"/>
      <c r="CK339" s="46"/>
      <c r="CL339" s="46"/>
      <c r="CM339" s="46"/>
      <c r="CN339" s="46"/>
      <c r="CO339" s="46"/>
      <c r="CP339" s="46"/>
      <c r="CQ339" s="46"/>
      <c r="CR339" s="46"/>
      <c r="CS339" s="46"/>
      <c r="CT339" s="46"/>
      <c r="CU339" s="46"/>
      <c r="CV339" s="46"/>
      <c r="CW339" s="46"/>
      <c r="CX339" s="46"/>
      <c r="CY339" s="46"/>
      <c r="CZ339" s="46"/>
      <c r="DA339" s="46"/>
      <c r="DB339" s="46"/>
      <c r="DC339" s="46"/>
      <c r="DD339" s="46"/>
      <c r="DE339" s="46"/>
      <c r="DF339" s="46"/>
      <c r="DG339" s="46"/>
      <c r="DH339" s="46"/>
      <c r="DI339" s="46"/>
      <c r="DJ339" s="46"/>
      <c r="DK339" s="46"/>
      <c r="DL339" s="46"/>
      <c r="DM339" s="46"/>
      <c r="DN339" s="46"/>
      <c r="DO339" s="46"/>
      <c r="DP339" s="46"/>
      <c r="DQ339" s="46"/>
      <c r="DR339" s="46"/>
      <c r="DS339" s="46"/>
      <c r="DT339" s="46"/>
      <c r="DU339" s="46"/>
      <c r="DV339" s="46"/>
      <c r="DW339" s="46"/>
      <c r="DX339" s="46"/>
      <c r="DY339" s="46"/>
      <c r="DZ339" s="46"/>
      <c r="EA339" s="46"/>
      <c r="EB339" s="46"/>
      <c r="EC339" s="46"/>
      <c r="ED339" s="46"/>
      <c r="EE339" s="46"/>
      <c r="EF339" s="46"/>
      <c r="EG339" s="46"/>
      <c r="EH339" s="46"/>
      <c r="EI339" s="46"/>
      <c r="EJ339" s="46"/>
      <c r="EK339" s="46"/>
      <c r="EL339" s="46"/>
      <c r="EM339" s="46"/>
      <c r="EN339" s="46"/>
      <c r="EO339" s="46"/>
      <c r="EP339" s="46"/>
      <c r="EQ339" s="46"/>
      <c r="ER339" s="46"/>
      <c r="ES339" s="46"/>
      <c r="ET339" s="46"/>
      <c r="EU339" s="46"/>
      <c r="EV339" s="46"/>
      <c r="EW339" s="46"/>
      <c r="EX339" s="46"/>
      <c r="EY339" s="46"/>
      <c r="EZ339" s="46"/>
      <c r="FA339" s="46"/>
      <c r="FB339" s="46"/>
      <c r="FC339" s="46"/>
      <c r="FD339" s="46"/>
      <c r="FE339" s="46"/>
      <c r="FF339" s="46"/>
      <c r="FG339" s="46"/>
      <c r="FH339" s="46"/>
      <c r="FI339" s="46"/>
      <c r="FJ339" s="46"/>
      <c r="FK339" s="46"/>
      <c r="FL339" s="46"/>
      <c r="FM339" s="46"/>
      <c r="FN339" s="46"/>
      <c r="FO339" s="46"/>
      <c r="FP339" s="46"/>
      <c r="FQ339" s="46"/>
      <c r="FR339" s="46"/>
      <c r="FS339" s="46"/>
      <c r="FT339" s="46"/>
      <c r="FU339" s="46"/>
      <c r="FV339" s="46"/>
      <c r="FW339" s="46"/>
      <c r="FX339" s="46"/>
      <c r="FY339" s="46"/>
      <c r="FZ339" s="46"/>
      <c r="GA339" s="46"/>
      <c r="GB339" s="46"/>
      <c r="GC339" s="46"/>
      <c r="GD339" s="46"/>
      <c r="GE339" s="46"/>
      <c r="GF339" s="46"/>
      <c r="GG339" s="46"/>
      <c r="GH339" s="46"/>
      <c r="GI339" s="46"/>
      <c r="GJ339" s="46"/>
      <c r="GK339" s="46"/>
      <c r="GL339" s="46"/>
      <c r="GM339" s="46"/>
      <c r="GN339" s="46"/>
      <c r="GO339" s="46"/>
      <c r="GP339" s="46"/>
    </row>
    <row r="340" spans="1:198" ht="15" x14ac:dyDescent="0.2">
      <c r="A340" s="119" t="s">
        <v>331</v>
      </c>
      <c r="B340" s="68" t="s">
        <v>74</v>
      </c>
      <c r="C340" s="63">
        <v>5469729.7699999996</v>
      </c>
      <c r="D340" s="62">
        <v>540901576.95529997</v>
      </c>
      <c r="E340" s="16"/>
      <c r="F340" s="31"/>
      <c r="G340" s="46"/>
      <c r="H340" s="47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46"/>
      <c r="BQ340" s="46"/>
      <c r="BR340" s="46"/>
      <c r="BS340" s="46"/>
      <c r="BT340" s="46"/>
      <c r="BU340" s="46"/>
      <c r="BV340" s="46"/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  <c r="CI340" s="46"/>
      <c r="CJ340" s="46"/>
      <c r="CK340" s="46"/>
      <c r="CL340" s="46"/>
      <c r="CM340" s="46"/>
      <c r="CN340" s="46"/>
      <c r="CO340" s="46"/>
      <c r="CP340" s="46"/>
      <c r="CQ340" s="46"/>
      <c r="CR340" s="46"/>
      <c r="CS340" s="46"/>
      <c r="CT340" s="46"/>
      <c r="CU340" s="46"/>
      <c r="CV340" s="46"/>
      <c r="CW340" s="46"/>
      <c r="CX340" s="46"/>
      <c r="CY340" s="46"/>
      <c r="CZ340" s="46"/>
      <c r="DA340" s="46"/>
      <c r="DB340" s="46"/>
      <c r="DC340" s="46"/>
      <c r="DD340" s="46"/>
      <c r="DE340" s="46"/>
      <c r="DF340" s="46"/>
      <c r="DG340" s="46"/>
      <c r="DH340" s="46"/>
      <c r="DI340" s="46"/>
      <c r="DJ340" s="46"/>
      <c r="DK340" s="46"/>
      <c r="DL340" s="46"/>
      <c r="DM340" s="46"/>
      <c r="DN340" s="46"/>
      <c r="DO340" s="46"/>
      <c r="DP340" s="46"/>
      <c r="DQ340" s="46"/>
      <c r="DR340" s="46"/>
      <c r="DS340" s="46"/>
      <c r="DT340" s="46"/>
      <c r="DU340" s="46"/>
      <c r="DV340" s="46"/>
      <c r="DW340" s="46"/>
      <c r="DX340" s="46"/>
      <c r="DY340" s="46"/>
      <c r="DZ340" s="46"/>
      <c r="EA340" s="46"/>
      <c r="EB340" s="46"/>
      <c r="EC340" s="46"/>
      <c r="ED340" s="46"/>
      <c r="EE340" s="46"/>
      <c r="EF340" s="46"/>
      <c r="EG340" s="46"/>
      <c r="EH340" s="46"/>
      <c r="EI340" s="46"/>
      <c r="EJ340" s="46"/>
      <c r="EK340" s="46"/>
      <c r="EL340" s="46"/>
      <c r="EM340" s="46"/>
      <c r="EN340" s="46"/>
      <c r="EO340" s="46"/>
      <c r="EP340" s="46"/>
      <c r="EQ340" s="46"/>
      <c r="ER340" s="46"/>
      <c r="ES340" s="46"/>
      <c r="ET340" s="46"/>
      <c r="EU340" s="46"/>
      <c r="EV340" s="46"/>
      <c r="EW340" s="46"/>
      <c r="EX340" s="46"/>
      <c r="EY340" s="46"/>
      <c r="EZ340" s="46"/>
      <c r="FA340" s="46"/>
      <c r="FB340" s="46"/>
      <c r="FC340" s="46"/>
      <c r="FD340" s="46"/>
      <c r="FE340" s="46"/>
      <c r="FF340" s="46"/>
      <c r="FG340" s="46"/>
      <c r="FH340" s="46"/>
      <c r="FI340" s="46"/>
      <c r="FJ340" s="46"/>
      <c r="FK340" s="46"/>
      <c r="FL340" s="46"/>
      <c r="FM340" s="46"/>
      <c r="FN340" s="46"/>
      <c r="FO340" s="46"/>
      <c r="FP340" s="46"/>
      <c r="FQ340" s="46"/>
      <c r="FR340" s="46"/>
      <c r="FS340" s="46"/>
      <c r="FT340" s="46"/>
      <c r="FU340" s="46"/>
      <c r="FV340" s="46"/>
      <c r="FW340" s="46"/>
      <c r="FX340" s="46"/>
      <c r="FY340" s="46"/>
      <c r="FZ340" s="46"/>
      <c r="GA340" s="46"/>
      <c r="GB340" s="46"/>
      <c r="GC340" s="46"/>
      <c r="GD340" s="46"/>
      <c r="GE340" s="46"/>
      <c r="GF340" s="46"/>
      <c r="GG340" s="46"/>
      <c r="GH340" s="46"/>
      <c r="GI340" s="46"/>
      <c r="GJ340" s="46"/>
      <c r="GK340" s="46"/>
      <c r="GL340" s="46"/>
      <c r="GM340" s="46"/>
      <c r="GN340" s="46"/>
      <c r="GO340" s="46"/>
      <c r="GP340" s="46"/>
    </row>
    <row r="341" spans="1:198" ht="15" x14ac:dyDescent="0.2">
      <c r="A341" s="119" t="s">
        <v>315</v>
      </c>
      <c r="B341" s="68" t="s">
        <v>74</v>
      </c>
      <c r="C341" s="63">
        <v>50000000</v>
      </c>
      <c r="D341" s="62">
        <v>4944500000</v>
      </c>
      <c r="E341" s="16"/>
      <c r="F341" s="31"/>
      <c r="G341" s="46"/>
      <c r="H341" s="47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  <c r="BP341" s="46"/>
      <c r="BQ341" s="46"/>
      <c r="BR341" s="46"/>
      <c r="BS341" s="46"/>
      <c r="BT341" s="46"/>
      <c r="BU341" s="46"/>
      <c r="BV341" s="46"/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  <c r="CI341" s="46"/>
      <c r="CJ341" s="46"/>
      <c r="CK341" s="46"/>
      <c r="CL341" s="46"/>
      <c r="CM341" s="46"/>
      <c r="CN341" s="46"/>
      <c r="CO341" s="46"/>
      <c r="CP341" s="46"/>
      <c r="CQ341" s="46"/>
      <c r="CR341" s="46"/>
      <c r="CS341" s="46"/>
      <c r="CT341" s="46"/>
      <c r="CU341" s="46"/>
      <c r="CV341" s="46"/>
      <c r="CW341" s="46"/>
      <c r="CX341" s="46"/>
      <c r="CY341" s="46"/>
      <c r="CZ341" s="46"/>
      <c r="DA341" s="46"/>
      <c r="DB341" s="46"/>
      <c r="DC341" s="46"/>
      <c r="DD341" s="46"/>
      <c r="DE341" s="46"/>
      <c r="DF341" s="46"/>
      <c r="DG341" s="46"/>
      <c r="DH341" s="46"/>
      <c r="DI341" s="46"/>
      <c r="DJ341" s="46"/>
      <c r="DK341" s="46"/>
      <c r="DL341" s="46"/>
      <c r="DM341" s="46"/>
      <c r="DN341" s="46"/>
      <c r="DO341" s="46"/>
      <c r="DP341" s="46"/>
      <c r="DQ341" s="46"/>
      <c r="DR341" s="46"/>
      <c r="DS341" s="46"/>
      <c r="DT341" s="46"/>
      <c r="DU341" s="46"/>
      <c r="DV341" s="46"/>
      <c r="DW341" s="46"/>
      <c r="DX341" s="46"/>
      <c r="DY341" s="46"/>
      <c r="DZ341" s="46"/>
      <c r="EA341" s="46"/>
      <c r="EB341" s="46"/>
      <c r="EC341" s="46"/>
      <c r="ED341" s="46"/>
      <c r="EE341" s="46"/>
      <c r="EF341" s="46"/>
      <c r="EG341" s="46"/>
      <c r="EH341" s="46"/>
      <c r="EI341" s="46"/>
      <c r="EJ341" s="46"/>
      <c r="EK341" s="46"/>
      <c r="EL341" s="46"/>
      <c r="EM341" s="46"/>
      <c r="EN341" s="46"/>
      <c r="EO341" s="46"/>
      <c r="EP341" s="46"/>
      <c r="EQ341" s="46"/>
      <c r="ER341" s="46"/>
      <c r="ES341" s="46"/>
      <c r="ET341" s="46"/>
      <c r="EU341" s="46"/>
      <c r="EV341" s="46"/>
      <c r="EW341" s="46"/>
      <c r="EX341" s="46"/>
      <c r="EY341" s="46"/>
      <c r="EZ341" s="46"/>
      <c r="FA341" s="46"/>
      <c r="FB341" s="46"/>
      <c r="FC341" s="46"/>
      <c r="FD341" s="46"/>
      <c r="FE341" s="46"/>
      <c r="FF341" s="46"/>
      <c r="FG341" s="46"/>
      <c r="FH341" s="46"/>
      <c r="FI341" s="46"/>
      <c r="FJ341" s="46"/>
      <c r="FK341" s="46"/>
      <c r="FL341" s="46"/>
      <c r="FM341" s="46"/>
      <c r="FN341" s="46"/>
      <c r="FO341" s="46"/>
      <c r="FP341" s="46"/>
      <c r="FQ341" s="46"/>
      <c r="FR341" s="46"/>
      <c r="FS341" s="46"/>
      <c r="FT341" s="46"/>
      <c r="FU341" s="46"/>
      <c r="FV341" s="46"/>
      <c r="FW341" s="46"/>
      <c r="FX341" s="46"/>
      <c r="FY341" s="46"/>
      <c r="FZ341" s="46"/>
      <c r="GA341" s="46"/>
      <c r="GB341" s="46"/>
      <c r="GC341" s="46"/>
      <c r="GD341" s="46"/>
      <c r="GE341" s="46"/>
      <c r="GF341" s="46"/>
      <c r="GG341" s="46"/>
      <c r="GH341" s="46"/>
      <c r="GI341" s="46"/>
      <c r="GJ341" s="46"/>
      <c r="GK341" s="46"/>
      <c r="GL341" s="46"/>
      <c r="GM341" s="46"/>
      <c r="GN341" s="46"/>
      <c r="GO341" s="46"/>
      <c r="GP341" s="46"/>
    </row>
    <row r="342" spans="1:198" ht="15" x14ac:dyDescent="0.2">
      <c r="A342" s="119" t="s">
        <v>317</v>
      </c>
      <c r="B342" s="68" t="s">
        <v>74</v>
      </c>
      <c r="C342" s="63">
        <v>60000000</v>
      </c>
      <c r="D342" s="62">
        <v>5933400000</v>
      </c>
      <c r="E342" s="16"/>
      <c r="F342" s="31"/>
      <c r="G342" s="46"/>
      <c r="H342" s="47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  <c r="BP342" s="46"/>
      <c r="BQ342" s="46"/>
      <c r="BR342" s="46"/>
      <c r="BS342" s="46"/>
      <c r="BT342" s="46"/>
      <c r="BU342" s="46"/>
      <c r="BV342" s="46"/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  <c r="CI342" s="46"/>
      <c r="CJ342" s="46"/>
      <c r="CK342" s="46"/>
      <c r="CL342" s="46"/>
      <c r="CM342" s="46"/>
      <c r="CN342" s="46"/>
      <c r="CO342" s="46"/>
      <c r="CP342" s="46"/>
      <c r="CQ342" s="46"/>
      <c r="CR342" s="46"/>
      <c r="CS342" s="46"/>
      <c r="CT342" s="46"/>
      <c r="CU342" s="46"/>
      <c r="CV342" s="46"/>
      <c r="CW342" s="46"/>
      <c r="CX342" s="46"/>
      <c r="CY342" s="46"/>
      <c r="CZ342" s="46"/>
      <c r="DA342" s="46"/>
      <c r="DB342" s="46"/>
      <c r="DC342" s="46"/>
      <c r="DD342" s="46"/>
      <c r="DE342" s="46"/>
      <c r="DF342" s="46"/>
      <c r="DG342" s="46"/>
      <c r="DH342" s="46"/>
      <c r="DI342" s="46"/>
      <c r="DJ342" s="46"/>
      <c r="DK342" s="46"/>
      <c r="DL342" s="46"/>
      <c r="DM342" s="46"/>
      <c r="DN342" s="46"/>
      <c r="DO342" s="46"/>
      <c r="DP342" s="46"/>
      <c r="DQ342" s="46"/>
      <c r="DR342" s="46"/>
      <c r="DS342" s="46"/>
      <c r="DT342" s="46"/>
      <c r="DU342" s="46"/>
      <c r="DV342" s="46"/>
      <c r="DW342" s="46"/>
      <c r="DX342" s="46"/>
      <c r="DY342" s="46"/>
      <c r="DZ342" s="46"/>
      <c r="EA342" s="46"/>
      <c r="EB342" s="46"/>
      <c r="EC342" s="46"/>
      <c r="ED342" s="46"/>
      <c r="EE342" s="46"/>
      <c r="EF342" s="46"/>
      <c r="EG342" s="46"/>
      <c r="EH342" s="46"/>
      <c r="EI342" s="46"/>
      <c r="EJ342" s="46"/>
      <c r="EK342" s="46"/>
      <c r="EL342" s="46"/>
      <c r="EM342" s="46"/>
      <c r="EN342" s="46"/>
      <c r="EO342" s="46"/>
      <c r="EP342" s="46"/>
      <c r="EQ342" s="46"/>
      <c r="ER342" s="46"/>
      <c r="ES342" s="46"/>
      <c r="ET342" s="46"/>
      <c r="EU342" s="46"/>
      <c r="EV342" s="46"/>
      <c r="EW342" s="46"/>
      <c r="EX342" s="46"/>
      <c r="EY342" s="46"/>
      <c r="EZ342" s="46"/>
      <c r="FA342" s="46"/>
      <c r="FB342" s="46"/>
      <c r="FC342" s="46"/>
      <c r="FD342" s="46"/>
      <c r="FE342" s="46"/>
      <c r="FF342" s="46"/>
      <c r="FG342" s="46"/>
      <c r="FH342" s="46"/>
      <c r="FI342" s="46"/>
      <c r="FJ342" s="46"/>
      <c r="FK342" s="46"/>
      <c r="FL342" s="46"/>
      <c r="FM342" s="46"/>
      <c r="FN342" s="46"/>
      <c r="FO342" s="46"/>
      <c r="FP342" s="46"/>
      <c r="FQ342" s="46"/>
      <c r="FR342" s="46"/>
      <c r="FS342" s="46"/>
      <c r="FT342" s="46"/>
      <c r="FU342" s="46"/>
      <c r="FV342" s="46"/>
      <c r="FW342" s="46"/>
      <c r="FX342" s="46"/>
      <c r="FY342" s="46"/>
      <c r="FZ342" s="46"/>
      <c r="GA342" s="46"/>
      <c r="GB342" s="46"/>
      <c r="GC342" s="46"/>
      <c r="GD342" s="46"/>
      <c r="GE342" s="46"/>
      <c r="GF342" s="46"/>
      <c r="GG342" s="46"/>
      <c r="GH342" s="46"/>
      <c r="GI342" s="46"/>
      <c r="GJ342" s="46"/>
      <c r="GK342" s="46"/>
      <c r="GL342" s="46"/>
      <c r="GM342" s="46"/>
      <c r="GN342" s="46"/>
      <c r="GO342" s="46"/>
      <c r="GP342" s="46"/>
    </row>
    <row r="343" spans="1:198" ht="15" x14ac:dyDescent="0.2">
      <c r="A343" s="119" t="s">
        <v>318</v>
      </c>
      <c r="B343" s="68" t="s">
        <v>74</v>
      </c>
      <c r="C343" s="63">
        <v>60000000</v>
      </c>
      <c r="D343" s="62">
        <v>5933400000</v>
      </c>
      <c r="E343" s="16"/>
      <c r="F343" s="31"/>
      <c r="G343" s="46"/>
      <c r="H343" s="47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  <c r="BP343" s="46"/>
      <c r="BQ343" s="46"/>
      <c r="BR343" s="46"/>
      <c r="BS343" s="46"/>
      <c r="BT343" s="46"/>
      <c r="BU343" s="46"/>
      <c r="BV343" s="46"/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  <c r="CI343" s="46"/>
      <c r="CJ343" s="46"/>
      <c r="CK343" s="46"/>
      <c r="CL343" s="46"/>
      <c r="CM343" s="46"/>
      <c r="CN343" s="46"/>
      <c r="CO343" s="46"/>
      <c r="CP343" s="46"/>
      <c r="CQ343" s="46"/>
      <c r="CR343" s="46"/>
      <c r="CS343" s="46"/>
      <c r="CT343" s="46"/>
      <c r="CU343" s="46"/>
      <c r="CV343" s="46"/>
      <c r="CW343" s="46"/>
      <c r="CX343" s="46"/>
      <c r="CY343" s="46"/>
      <c r="CZ343" s="46"/>
      <c r="DA343" s="46"/>
      <c r="DB343" s="46"/>
      <c r="DC343" s="46"/>
      <c r="DD343" s="46"/>
      <c r="DE343" s="46"/>
      <c r="DF343" s="46"/>
      <c r="DG343" s="46"/>
      <c r="DH343" s="46"/>
      <c r="DI343" s="46"/>
      <c r="DJ343" s="46"/>
      <c r="DK343" s="46"/>
      <c r="DL343" s="46"/>
      <c r="DM343" s="46"/>
      <c r="DN343" s="46"/>
      <c r="DO343" s="46"/>
      <c r="DP343" s="46"/>
      <c r="DQ343" s="46"/>
      <c r="DR343" s="46"/>
      <c r="DS343" s="46"/>
      <c r="DT343" s="46"/>
      <c r="DU343" s="46"/>
      <c r="DV343" s="46"/>
      <c r="DW343" s="46"/>
      <c r="DX343" s="46"/>
      <c r="DY343" s="46"/>
      <c r="DZ343" s="46"/>
      <c r="EA343" s="46"/>
      <c r="EB343" s="46"/>
      <c r="EC343" s="46"/>
      <c r="ED343" s="46"/>
      <c r="EE343" s="46"/>
      <c r="EF343" s="46"/>
      <c r="EG343" s="46"/>
      <c r="EH343" s="46"/>
      <c r="EI343" s="46"/>
      <c r="EJ343" s="46"/>
      <c r="EK343" s="46"/>
      <c r="EL343" s="46"/>
      <c r="EM343" s="46"/>
      <c r="EN343" s="46"/>
      <c r="EO343" s="46"/>
      <c r="EP343" s="46"/>
      <c r="EQ343" s="46"/>
      <c r="ER343" s="46"/>
      <c r="ES343" s="46"/>
      <c r="ET343" s="46"/>
      <c r="EU343" s="46"/>
      <c r="EV343" s="46"/>
      <c r="EW343" s="46"/>
      <c r="EX343" s="46"/>
      <c r="EY343" s="46"/>
      <c r="EZ343" s="46"/>
      <c r="FA343" s="46"/>
      <c r="FB343" s="46"/>
      <c r="FC343" s="46"/>
      <c r="FD343" s="46"/>
      <c r="FE343" s="46"/>
      <c r="FF343" s="46"/>
      <c r="FG343" s="46"/>
      <c r="FH343" s="46"/>
      <c r="FI343" s="46"/>
      <c r="FJ343" s="46"/>
      <c r="FK343" s="46"/>
      <c r="FL343" s="46"/>
      <c r="FM343" s="46"/>
      <c r="FN343" s="46"/>
      <c r="FO343" s="46"/>
      <c r="FP343" s="46"/>
      <c r="FQ343" s="46"/>
      <c r="FR343" s="46"/>
      <c r="FS343" s="46"/>
      <c r="FT343" s="46"/>
      <c r="FU343" s="46"/>
      <c r="FV343" s="46"/>
      <c r="FW343" s="46"/>
      <c r="FX343" s="46"/>
      <c r="FY343" s="46"/>
      <c r="FZ343" s="46"/>
      <c r="GA343" s="46"/>
      <c r="GB343" s="46"/>
      <c r="GC343" s="46"/>
      <c r="GD343" s="46"/>
      <c r="GE343" s="46"/>
      <c r="GF343" s="46"/>
      <c r="GG343" s="46"/>
      <c r="GH343" s="46"/>
      <c r="GI343" s="46"/>
      <c r="GJ343" s="46"/>
      <c r="GK343" s="46"/>
      <c r="GL343" s="46"/>
      <c r="GM343" s="46"/>
      <c r="GN343" s="46"/>
      <c r="GO343" s="46"/>
      <c r="GP343" s="46"/>
    </row>
    <row r="344" spans="1:198" ht="15" x14ac:dyDescent="0.2">
      <c r="A344" s="119" t="s">
        <v>319</v>
      </c>
      <c r="B344" s="68" t="s">
        <v>74</v>
      </c>
      <c r="C344" s="63">
        <v>30000000</v>
      </c>
      <c r="D344" s="62">
        <v>2966700000</v>
      </c>
      <c r="E344" s="16"/>
      <c r="F344" s="31"/>
      <c r="G344" s="46"/>
      <c r="H344" s="47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  <c r="BP344" s="46"/>
      <c r="BQ344" s="46"/>
      <c r="BR344" s="46"/>
      <c r="BS344" s="46"/>
      <c r="BT344" s="46"/>
      <c r="BU344" s="46"/>
      <c r="BV344" s="46"/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  <c r="CI344" s="46"/>
      <c r="CJ344" s="46"/>
      <c r="CK344" s="46"/>
      <c r="CL344" s="46"/>
      <c r="CM344" s="46"/>
      <c r="CN344" s="46"/>
      <c r="CO344" s="46"/>
      <c r="CP344" s="46"/>
      <c r="CQ344" s="46"/>
      <c r="CR344" s="46"/>
      <c r="CS344" s="46"/>
      <c r="CT344" s="46"/>
      <c r="CU344" s="46"/>
      <c r="CV344" s="46"/>
      <c r="CW344" s="46"/>
      <c r="CX344" s="46"/>
      <c r="CY344" s="46"/>
      <c r="CZ344" s="46"/>
      <c r="DA344" s="46"/>
      <c r="DB344" s="46"/>
      <c r="DC344" s="46"/>
      <c r="DD344" s="46"/>
      <c r="DE344" s="46"/>
      <c r="DF344" s="46"/>
      <c r="DG344" s="46"/>
      <c r="DH344" s="46"/>
      <c r="DI344" s="46"/>
      <c r="DJ344" s="46"/>
      <c r="DK344" s="46"/>
      <c r="DL344" s="46"/>
      <c r="DM344" s="46"/>
      <c r="DN344" s="46"/>
      <c r="DO344" s="46"/>
      <c r="DP344" s="46"/>
      <c r="DQ344" s="46"/>
      <c r="DR344" s="46"/>
      <c r="DS344" s="46"/>
      <c r="DT344" s="46"/>
      <c r="DU344" s="46"/>
      <c r="DV344" s="46"/>
      <c r="DW344" s="46"/>
      <c r="DX344" s="46"/>
      <c r="DY344" s="46"/>
      <c r="DZ344" s="46"/>
      <c r="EA344" s="46"/>
      <c r="EB344" s="46"/>
      <c r="EC344" s="46"/>
      <c r="ED344" s="46"/>
      <c r="EE344" s="46"/>
      <c r="EF344" s="46"/>
      <c r="EG344" s="46"/>
      <c r="EH344" s="46"/>
      <c r="EI344" s="46"/>
      <c r="EJ344" s="46"/>
      <c r="EK344" s="46"/>
      <c r="EL344" s="46"/>
      <c r="EM344" s="46"/>
      <c r="EN344" s="46"/>
      <c r="EO344" s="46"/>
      <c r="EP344" s="46"/>
      <c r="EQ344" s="46"/>
      <c r="ER344" s="46"/>
      <c r="ES344" s="46"/>
      <c r="ET344" s="46"/>
      <c r="EU344" s="46"/>
      <c r="EV344" s="46"/>
      <c r="EW344" s="46"/>
      <c r="EX344" s="46"/>
      <c r="EY344" s="46"/>
      <c r="EZ344" s="46"/>
      <c r="FA344" s="46"/>
      <c r="FB344" s="46"/>
      <c r="FC344" s="46"/>
      <c r="FD344" s="46"/>
      <c r="FE344" s="46"/>
      <c r="FF344" s="46"/>
      <c r="FG344" s="46"/>
      <c r="FH344" s="46"/>
      <c r="FI344" s="46"/>
      <c r="FJ344" s="46"/>
      <c r="FK344" s="46"/>
      <c r="FL344" s="46"/>
      <c r="FM344" s="46"/>
      <c r="FN344" s="46"/>
      <c r="FO344" s="46"/>
      <c r="FP344" s="46"/>
      <c r="FQ344" s="46"/>
      <c r="FR344" s="46"/>
      <c r="FS344" s="46"/>
      <c r="FT344" s="46"/>
      <c r="FU344" s="46"/>
      <c r="FV344" s="46"/>
      <c r="FW344" s="46"/>
      <c r="FX344" s="46"/>
      <c r="FY344" s="46"/>
      <c r="FZ344" s="46"/>
      <c r="GA344" s="46"/>
      <c r="GB344" s="46"/>
      <c r="GC344" s="46"/>
      <c r="GD344" s="46"/>
      <c r="GE344" s="46"/>
      <c r="GF344" s="46"/>
      <c r="GG344" s="46"/>
      <c r="GH344" s="46"/>
      <c r="GI344" s="46"/>
      <c r="GJ344" s="46"/>
      <c r="GK344" s="46"/>
      <c r="GL344" s="46"/>
      <c r="GM344" s="46"/>
      <c r="GN344" s="46"/>
      <c r="GO344" s="46"/>
      <c r="GP344" s="46"/>
    </row>
    <row r="345" spans="1:198" ht="15" x14ac:dyDescent="0.2">
      <c r="A345" s="119" t="s">
        <v>322</v>
      </c>
      <c r="B345" s="68" t="s">
        <v>74</v>
      </c>
      <c r="C345" s="63">
        <v>5833826.7400000002</v>
      </c>
      <c r="D345" s="62">
        <v>576907126.31860006</v>
      </c>
      <c r="E345" s="16"/>
      <c r="F345" s="31"/>
      <c r="G345" s="46"/>
      <c r="H345" s="47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  <c r="BP345" s="46"/>
      <c r="BQ345" s="46"/>
      <c r="BR345" s="46"/>
      <c r="BS345" s="46"/>
      <c r="BT345" s="46"/>
      <c r="BU345" s="46"/>
      <c r="BV345" s="46"/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  <c r="CI345" s="46"/>
      <c r="CJ345" s="46"/>
      <c r="CK345" s="46"/>
      <c r="CL345" s="46"/>
      <c r="CM345" s="46"/>
      <c r="CN345" s="46"/>
      <c r="CO345" s="46"/>
      <c r="CP345" s="46"/>
      <c r="CQ345" s="46"/>
      <c r="CR345" s="46"/>
      <c r="CS345" s="46"/>
      <c r="CT345" s="46"/>
      <c r="CU345" s="46"/>
      <c r="CV345" s="46"/>
      <c r="CW345" s="46"/>
      <c r="CX345" s="46"/>
      <c r="CY345" s="46"/>
      <c r="CZ345" s="46"/>
      <c r="DA345" s="46"/>
      <c r="DB345" s="46"/>
      <c r="DC345" s="46"/>
      <c r="DD345" s="46"/>
      <c r="DE345" s="46"/>
      <c r="DF345" s="46"/>
      <c r="DG345" s="46"/>
      <c r="DH345" s="46"/>
      <c r="DI345" s="46"/>
      <c r="DJ345" s="46"/>
      <c r="DK345" s="46"/>
      <c r="DL345" s="46"/>
      <c r="DM345" s="46"/>
      <c r="DN345" s="46"/>
      <c r="DO345" s="46"/>
      <c r="DP345" s="46"/>
      <c r="DQ345" s="46"/>
      <c r="DR345" s="46"/>
      <c r="DS345" s="46"/>
      <c r="DT345" s="46"/>
      <c r="DU345" s="46"/>
      <c r="DV345" s="46"/>
      <c r="DW345" s="46"/>
      <c r="DX345" s="46"/>
      <c r="DY345" s="46"/>
      <c r="DZ345" s="46"/>
      <c r="EA345" s="46"/>
      <c r="EB345" s="46"/>
      <c r="EC345" s="46"/>
      <c r="ED345" s="46"/>
      <c r="EE345" s="46"/>
      <c r="EF345" s="46"/>
      <c r="EG345" s="46"/>
      <c r="EH345" s="46"/>
      <c r="EI345" s="46"/>
      <c r="EJ345" s="46"/>
      <c r="EK345" s="46"/>
      <c r="EL345" s="46"/>
      <c r="EM345" s="46"/>
      <c r="EN345" s="46"/>
      <c r="EO345" s="46"/>
      <c r="EP345" s="46"/>
      <c r="EQ345" s="46"/>
      <c r="ER345" s="46"/>
      <c r="ES345" s="46"/>
      <c r="ET345" s="46"/>
      <c r="EU345" s="46"/>
      <c r="EV345" s="46"/>
      <c r="EW345" s="46"/>
      <c r="EX345" s="46"/>
      <c r="EY345" s="46"/>
      <c r="EZ345" s="46"/>
      <c r="FA345" s="46"/>
      <c r="FB345" s="46"/>
      <c r="FC345" s="46"/>
      <c r="FD345" s="46"/>
      <c r="FE345" s="46"/>
      <c r="FF345" s="46"/>
      <c r="FG345" s="46"/>
      <c r="FH345" s="46"/>
      <c r="FI345" s="46"/>
      <c r="FJ345" s="46"/>
      <c r="FK345" s="46"/>
      <c r="FL345" s="46"/>
      <c r="FM345" s="46"/>
      <c r="FN345" s="46"/>
      <c r="FO345" s="46"/>
      <c r="FP345" s="46"/>
      <c r="FQ345" s="46"/>
      <c r="FR345" s="46"/>
      <c r="FS345" s="46"/>
      <c r="FT345" s="46"/>
      <c r="FU345" s="46"/>
      <c r="FV345" s="46"/>
      <c r="FW345" s="46"/>
      <c r="FX345" s="46"/>
      <c r="FY345" s="46"/>
      <c r="FZ345" s="46"/>
      <c r="GA345" s="46"/>
      <c r="GB345" s="46"/>
      <c r="GC345" s="46"/>
      <c r="GD345" s="46"/>
      <c r="GE345" s="46"/>
      <c r="GF345" s="46"/>
      <c r="GG345" s="46"/>
      <c r="GH345" s="46"/>
      <c r="GI345" s="46"/>
      <c r="GJ345" s="46"/>
      <c r="GK345" s="46"/>
      <c r="GL345" s="46"/>
      <c r="GM345" s="46"/>
      <c r="GN345" s="46"/>
      <c r="GO345" s="46"/>
      <c r="GP345" s="46"/>
    </row>
    <row r="346" spans="1:198" ht="15" x14ac:dyDescent="0.2">
      <c r="A346" s="119" t="s">
        <v>320</v>
      </c>
      <c r="B346" s="68" t="s">
        <v>74</v>
      </c>
      <c r="C346" s="63">
        <v>200000000</v>
      </c>
      <c r="D346" s="62">
        <v>19778000000</v>
      </c>
      <c r="E346" s="16"/>
      <c r="F346" s="31"/>
      <c r="G346" s="46"/>
      <c r="H346" s="47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  <c r="CM346" s="46"/>
      <c r="CN346" s="46"/>
      <c r="CO346" s="46"/>
      <c r="CP346" s="46"/>
      <c r="CQ346" s="46"/>
      <c r="CR346" s="46"/>
      <c r="CS346" s="46"/>
      <c r="CT346" s="46"/>
      <c r="CU346" s="46"/>
      <c r="CV346" s="46"/>
      <c r="CW346" s="46"/>
      <c r="CX346" s="46"/>
      <c r="CY346" s="46"/>
      <c r="CZ346" s="46"/>
      <c r="DA346" s="46"/>
      <c r="DB346" s="46"/>
      <c r="DC346" s="46"/>
      <c r="DD346" s="46"/>
      <c r="DE346" s="46"/>
      <c r="DF346" s="46"/>
      <c r="DG346" s="46"/>
      <c r="DH346" s="46"/>
      <c r="DI346" s="46"/>
      <c r="DJ346" s="46"/>
      <c r="DK346" s="46"/>
      <c r="DL346" s="46"/>
      <c r="DM346" s="46"/>
      <c r="DN346" s="46"/>
      <c r="DO346" s="46"/>
      <c r="DP346" s="46"/>
      <c r="DQ346" s="46"/>
      <c r="DR346" s="46"/>
      <c r="DS346" s="46"/>
      <c r="DT346" s="46"/>
      <c r="DU346" s="46"/>
      <c r="DV346" s="46"/>
      <c r="DW346" s="46"/>
      <c r="DX346" s="46"/>
      <c r="DY346" s="46"/>
      <c r="DZ346" s="46"/>
      <c r="EA346" s="46"/>
      <c r="EB346" s="46"/>
      <c r="EC346" s="46"/>
      <c r="ED346" s="46"/>
      <c r="EE346" s="46"/>
      <c r="EF346" s="46"/>
      <c r="EG346" s="46"/>
      <c r="EH346" s="46"/>
      <c r="EI346" s="46"/>
      <c r="EJ346" s="46"/>
      <c r="EK346" s="46"/>
      <c r="EL346" s="46"/>
      <c r="EM346" s="46"/>
      <c r="EN346" s="46"/>
      <c r="EO346" s="46"/>
      <c r="EP346" s="46"/>
      <c r="EQ346" s="46"/>
      <c r="ER346" s="46"/>
      <c r="ES346" s="46"/>
      <c r="ET346" s="46"/>
      <c r="EU346" s="46"/>
      <c r="EV346" s="46"/>
      <c r="EW346" s="46"/>
      <c r="EX346" s="46"/>
      <c r="EY346" s="46"/>
      <c r="EZ346" s="46"/>
      <c r="FA346" s="46"/>
      <c r="FB346" s="46"/>
      <c r="FC346" s="46"/>
      <c r="FD346" s="46"/>
      <c r="FE346" s="46"/>
      <c r="FF346" s="46"/>
      <c r="FG346" s="46"/>
      <c r="FH346" s="46"/>
      <c r="FI346" s="46"/>
      <c r="FJ346" s="46"/>
      <c r="FK346" s="46"/>
      <c r="FL346" s="46"/>
      <c r="FM346" s="46"/>
      <c r="FN346" s="46"/>
      <c r="FO346" s="46"/>
      <c r="FP346" s="46"/>
      <c r="FQ346" s="46"/>
      <c r="FR346" s="46"/>
      <c r="FS346" s="46"/>
      <c r="FT346" s="46"/>
      <c r="FU346" s="46"/>
      <c r="FV346" s="46"/>
      <c r="FW346" s="46"/>
      <c r="FX346" s="46"/>
      <c r="FY346" s="46"/>
      <c r="FZ346" s="46"/>
      <c r="GA346" s="46"/>
      <c r="GB346" s="46"/>
      <c r="GC346" s="46"/>
      <c r="GD346" s="46"/>
      <c r="GE346" s="46"/>
      <c r="GF346" s="46"/>
      <c r="GG346" s="46"/>
      <c r="GH346" s="46"/>
      <c r="GI346" s="46"/>
      <c r="GJ346" s="46"/>
      <c r="GK346" s="46"/>
      <c r="GL346" s="46"/>
      <c r="GM346" s="46"/>
      <c r="GN346" s="46"/>
      <c r="GO346" s="46"/>
      <c r="GP346" s="46"/>
    </row>
    <row r="347" spans="1:198" ht="15" x14ac:dyDescent="0.2">
      <c r="A347" s="115" t="s">
        <v>321</v>
      </c>
      <c r="B347" s="68" t="s">
        <v>74</v>
      </c>
      <c r="C347" s="63">
        <v>2106496.3199999998</v>
      </c>
      <c r="D347" s="117">
        <v>388185141.84959996</v>
      </c>
      <c r="E347" s="16"/>
      <c r="F347" s="31"/>
      <c r="G347" s="46"/>
      <c r="H347" s="47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  <c r="BP347" s="46"/>
      <c r="BQ347" s="46"/>
      <c r="BR347" s="46"/>
      <c r="BS347" s="46"/>
      <c r="BT347" s="46"/>
      <c r="BU347" s="46"/>
      <c r="BV347" s="46"/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46"/>
      <c r="CW347" s="46"/>
      <c r="CX347" s="46"/>
      <c r="CY347" s="46"/>
      <c r="CZ347" s="46"/>
      <c r="DA347" s="46"/>
      <c r="DB347" s="46"/>
      <c r="DC347" s="46"/>
      <c r="DD347" s="46"/>
      <c r="DE347" s="46"/>
      <c r="DF347" s="46"/>
      <c r="DG347" s="46"/>
      <c r="DH347" s="46"/>
      <c r="DI347" s="46"/>
      <c r="DJ347" s="46"/>
      <c r="DK347" s="46"/>
      <c r="DL347" s="46"/>
      <c r="DM347" s="46"/>
      <c r="DN347" s="46"/>
      <c r="DO347" s="46"/>
      <c r="DP347" s="46"/>
      <c r="DQ347" s="46"/>
      <c r="DR347" s="46"/>
      <c r="DS347" s="46"/>
      <c r="DT347" s="46"/>
      <c r="DU347" s="46"/>
      <c r="DV347" s="46"/>
      <c r="DW347" s="46"/>
      <c r="DX347" s="46"/>
      <c r="DY347" s="46"/>
      <c r="DZ347" s="46"/>
      <c r="EA347" s="46"/>
      <c r="EB347" s="46"/>
      <c r="EC347" s="46"/>
      <c r="ED347" s="46"/>
      <c r="EE347" s="46"/>
      <c r="EF347" s="46"/>
      <c r="EG347" s="46"/>
      <c r="EH347" s="46"/>
      <c r="EI347" s="46"/>
      <c r="EJ347" s="46"/>
      <c r="EK347" s="46"/>
      <c r="EL347" s="46"/>
      <c r="EM347" s="46"/>
      <c r="EN347" s="46"/>
      <c r="EO347" s="46"/>
      <c r="EP347" s="46"/>
      <c r="EQ347" s="46"/>
      <c r="ER347" s="46"/>
      <c r="ES347" s="46"/>
      <c r="ET347" s="46"/>
      <c r="EU347" s="46"/>
      <c r="EV347" s="46"/>
      <c r="EW347" s="46"/>
      <c r="EX347" s="46"/>
      <c r="EY347" s="46"/>
      <c r="EZ347" s="46"/>
      <c r="FA347" s="46"/>
      <c r="FB347" s="46"/>
      <c r="FC347" s="46"/>
      <c r="FD347" s="46"/>
      <c r="FE347" s="46"/>
      <c r="FF347" s="46"/>
      <c r="FG347" s="46"/>
      <c r="FH347" s="46"/>
      <c r="FI347" s="46"/>
      <c r="FJ347" s="46"/>
      <c r="FK347" s="46"/>
      <c r="FL347" s="46"/>
      <c r="FM347" s="46"/>
      <c r="FN347" s="46"/>
      <c r="FO347" s="46"/>
      <c r="FP347" s="46"/>
      <c r="FQ347" s="46"/>
      <c r="FR347" s="46"/>
      <c r="FS347" s="46"/>
      <c r="FT347" s="46"/>
      <c r="FU347" s="46"/>
      <c r="FV347" s="46"/>
      <c r="FW347" s="46"/>
      <c r="FX347" s="46"/>
      <c r="FY347" s="46"/>
      <c r="FZ347" s="46"/>
      <c r="GA347" s="46"/>
      <c r="GB347" s="46"/>
      <c r="GC347" s="46"/>
      <c r="GD347" s="46"/>
      <c r="GE347" s="46"/>
      <c r="GF347" s="46"/>
      <c r="GG347" s="46"/>
      <c r="GH347" s="46"/>
      <c r="GI347" s="46"/>
      <c r="GJ347" s="46"/>
      <c r="GK347" s="46"/>
      <c r="GL347" s="46"/>
      <c r="GM347" s="46"/>
      <c r="GN347" s="46"/>
      <c r="GO347" s="46"/>
      <c r="GP347" s="46"/>
    </row>
    <row r="348" spans="1:198" ht="15" x14ac:dyDescent="0.2">
      <c r="A348" s="119" t="s">
        <v>323</v>
      </c>
      <c r="B348" s="68" t="s">
        <v>74</v>
      </c>
      <c r="C348" s="63">
        <v>200000000</v>
      </c>
      <c r="D348" s="62">
        <v>19778000000</v>
      </c>
      <c r="E348" s="16"/>
      <c r="F348" s="31"/>
      <c r="G348" s="46"/>
      <c r="H348" s="47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46"/>
      <c r="CW348" s="46"/>
      <c r="CX348" s="46"/>
      <c r="CY348" s="46"/>
      <c r="CZ348" s="46"/>
      <c r="DA348" s="46"/>
      <c r="DB348" s="46"/>
      <c r="DC348" s="46"/>
      <c r="DD348" s="46"/>
      <c r="DE348" s="46"/>
      <c r="DF348" s="46"/>
      <c r="DG348" s="46"/>
      <c r="DH348" s="46"/>
      <c r="DI348" s="46"/>
      <c r="DJ348" s="46"/>
      <c r="DK348" s="46"/>
      <c r="DL348" s="46"/>
      <c r="DM348" s="46"/>
      <c r="DN348" s="46"/>
      <c r="DO348" s="46"/>
      <c r="DP348" s="46"/>
      <c r="DQ348" s="46"/>
      <c r="DR348" s="46"/>
      <c r="DS348" s="46"/>
      <c r="DT348" s="46"/>
      <c r="DU348" s="46"/>
      <c r="DV348" s="46"/>
      <c r="DW348" s="46"/>
      <c r="DX348" s="46"/>
      <c r="DY348" s="46"/>
      <c r="DZ348" s="46"/>
      <c r="EA348" s="46"/>
      <c r="EB348" s="46"/>
      <c r="EC348" s="46"/>
      <c r="ED348" s="46"/>
      <c r="EE348" s="46"/>
      <c r="EF348" s="46"/>
      <c r="EG348" s="46"/>
      <c r="EH348" s="46"/>
      <c r="EI348" s="46"/>
      <c r="EJ348" s="46"/>
      <c r="EK348" s="46"/>
      <c r="EL348" s="46"/>
      <c r="EM348" s="46"/>
      <c r="EN348" s="46"/>
      <c r="EO348" s="46"/>
      <c r="EP348" s="46"/>
      <c r="EQ348" s="46"/>
      <c r="ER348" s="46"/>
      <c r="ES348" s="46"/>
      <c r="ET348" s="46"/>
      <c r="EU348" s="46"/>
      <c r="EV348" s="46"/>
      <c r="EW348" s="46"/>
      <c r="EX348" s="46"/>
      <c r="EY348" s="46"/>
      <c r="EZ348" s="46"/>
      <c r="FA348" s="46"/>
      <c r="FB348" s="46"/>
      <c r="FC348" s="46"/>
      <c r="FD348" s="46"/>
      <c r="FE348" s="46"/>
      <c r="FF348" s="46"/>
      <c r="FG348" s="46"/>
      <c r="FH348" s="46"/>
      <c r="FI348" s="46"/>
      <c r="FJ348" s="46"/>
      <c r="FK348" s="46"/>
      <c r="FL348" s="46"/>
      <c r="FM348" s="46"/>
      <c r="FN348" s="46"/>
      <c r="FO348" s="46"/>
      <c r="FP348" s="46"/>
      <c r="FQ348" s="46"/>
      <c r="FR348" s="46"/>
      <c r="FS348" s="46"/>
      <c r="FT348" s="46"/>
      <c r="FU348" s="46"/>
      <c r="FV348" s="46"/>
      <c r="FW348" s="46"/>
      <c r="FX348" s="46"/>
      <c r="FY348" s="46"/>
      <c r="FZ348" s="46"/>
      <c r="GA348" s="46"/>
      <c r="GB348" s="46"/>
      <c r="GC348" s="46"/>
      <c r="GD348" s="46"/>
      <c r="GE348" s="46"/>
      <c r="GF348" s="46"/>
      <c r="GG348" s="46"/>
      <c r="GH348" s="46"/>
      <c r="GI348" s="46"/>
      <c r="GJ348" s="46"/>
      <c r="GK348" s="46"/>
      <c r="GL348" s="46"/>
      <c r="GM348" s="46"/>
      <c r="GN348" s="46"/>
      <c r="GO348" s="46"/>
      <c r="GP348" s="46"/>
    </row>
    <row r="349" spans="1:198" ht="15" x14ac:dyDescent="0.2">
      <c r="A349" s="119" t="s">
        <v>343</v>
      </c>
      <c r="B349" s="68" t="s">
        <v>74</v>
      </c>
      <c r="C349" s="63">
        <v>721000</v>
      </c>
      <c r="D349" s="62">
        <v>71299690</v>
      </c>
      <c r="E349" s="16"/>
      <c r="F349" s="31"/>
      <c r="G349" s="46"/>
      <c r="H349" s="47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  <c r="BP349" s="46"/>
      <c r="BQ349" s="46"/>
      <c r="BR349" s="46"/>
      <c r="BS349" s="46"/>
      <c r="BT349" s="46"/>
      <c r="BU349" s="46"/>
      <c r="BV349" s="46"/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  <c r="CI349" s="46"/>
      <c r="CJ349" s="46"/>
      <c r="CK349" s="46"/>
      <c r="CL349" s="46"/>
      <c r="CM349" s="46"/>
      <c r="CN349" s="46"/>
      <c r="CO349" s="46"/>
      <c r="CP349" s="46"/>
      <c r="CQ349" s="46"/>
      <c r="CR349" s="46"/>
      <c r="CS349" s="46"/>
      <c r="CT349" s="46"/>
      <c r="CU349" s="46"/>
      <c r="CV349" s="46"/>
      <c r="CW349" s="46"/>
      <c r="CX349" s="46"/>
      <c r="CY349" s="46"/>
      <c r="CZ349" s="46"/>
      <c r="DA349" s="46"/>
      <c r="DB349" s="46"/>
      <c r="DC349" s="46"/>
      <c r="DD349" s="46"/>
      <c r="DE349" s="46"/>
      <c r="DF349" s="46"/>
      <c r="DG349" s="46"/>
      <c r="DH349" s="46"/>
      <c r="DI349" s="46"/>
      <c r="DJ349" s="46"/>
      <c r="DK349" s="46"/>
      <c r="DL349" s="46"/>
      <c r="DM349" s="46"/>
      <c r="DN349" s="46"/>
      <c r="DO349" s="46"/>
      <c r="DP349" s="46"/>
      <c r="DQ349" s="46"/>
      <c r="DR349" s="46"/>
      <c r="DS349" s="46"/>
      <c r="DT349" s="46"/>
      <c r="DU349" s="46"/>
      <c r="DV349" s="46"/>
      <c r="DW349" s="46"/>
      <c r="DX349" s="46"/>
      <c r="DY349" s="46"/>
      <c r="DZ349" s="46"/>
      <c r="EA349" s="46"/>
      <c r="EB349" s="46"/>
      <c r="EC349" s="46"/>
      <c r="ED349" s="46"/>
      <c r="EE349" s="46"/>
      <c r="EF349" s="46"/>
      <c r="EG349" s="46"/>
      <c r="EH349" s="46"/>
      <c r="EI349" s="46"/>
      <c r="EJ349" s="46"/>
      <c r="EK349" s="46"/>
      <c r="EL349" s="46"/>
      <c r="EM349" s="46"/>
      <c r="EN349" s="46"/>
      <c r="EO349" s="46"/>
      <c r="EP349" s="46"/>
      <c r="EQ349" s="46"/>
      <c r="ER349" s="46"/>
      <c r="ES349" s="46"/>
      <c r="ET349" s="46"/>
      <c r="EU349" s="46"/>
      <c r="EV349" s="46"/>
      <c r="EW349" s="46"/>
      <c r="EX349" s="46"/>
      <c r="EY349" s="46"/>
      <c r="EZ349" s="46"/>
      <c r="FA349" s="46"/>
      <c r="FB349" s="46"/>
      <c r="FC349" s="46"/>
      <c r="FD349" s="46"/>
      <c r="FE349" s="46"/>
      <c r="FF349" s="46"/>
      <c r="FG349" s="46"/>
      <c r="FH349" s="46"/>
      <c r="FI349" s="46"/>
      <c r="FJ349" s="46"/>
      <c r="FK349" s="46"/>
      <c r="FL349" s="46"/>
      <c r="FM349" s="46"/>
      <c r="FN349" s="46"/>
      <c r="FO349" s="46"/>
      <c r="FP349" s="46"/>
      <c r="FQ349" s="46"/>
      <c r="FR349" s="46"/>
      <c r="FS349" s="46"/>
      <c r="FT349" s="46"/>
      <c r="FU349" s="46"/>
      <c r="FV349" s="46"/>
      <c r="FW349" s="46"/>
      <c r="FX349" s="46"/>
      <c r="FY349" s="46"/>
      <c r="FZ349" s="46"/>
      <c r="GA349" s="46"/>
      <c r="GB349" s="46"/>
      <c r="GC349" s="46"/>
      <c r="GD349" s="46"/>
      <c r="GE349" s="46"/>
      <c r="GF349" s="46"/>
      <c r="GG349" s="46"/>
      <c r="GH349" s="46"/>
      <c r="GI349" s="46"/>
      <c r="GJ349" s="46"/>
      <c r="GK349" s="46"/>
      <c r="GL349" s="46"/>
      <c r="GM349" s="46"/>
      <c r="GN349" s="46"/>
      <c r="GO349" s="46"/>
      <c r="GP349" s="46"/>
    </row>
    <row r="350" spans="1:198" ht="15" x14ac:dyDescent="0.2">
      <c r="A350" s="119" t="s">
        <v>344</v>
      </c>
      <c r="B350" s="68" t="s">
        <v>74</v>
      </c>
      <c r="C350" s="63">
        <v>50000000</v>
      </c>
      <c r="D350" s="62">
        <v>4944500000</v>
      </c>
      <c r="E350" s="16"/>
      <c r="F350" s="31"/>
      <c r="G350" s="46"/>
      <c r="H350" s="47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  <c r="BP350" s="46"/>
      <c r="BQ350" s="46"/>
      <c r="BR350" s="46"/>
      <c r="BS350" s="46"/>
      <c r="BT350" s="46"/>
      <c r="BU350" s="46"/>
      <c r="BV350" s="46"/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  <c r="CI350" s="46"/>
      <c r="CJ350" s="46"/>
      <c r="CK350" s="46"/>
      <c r="CL350" s="46"/>
      <c r="CM350" s="46"/>
      <c r="CN350" s="46"/>
      <c r="CO350" s="46"/>
      <c r="CP350" s="46"/>
      <c r="CQ350" s="46"/>
      <c r="CR350" s="46"/>
      <c r="CS350" s="46"/>
      <c r="CT350" s="46"/>
      <c r="CU350" s="46"/>
      <c r="CV350" s="46"/>
      <c r="CW350" s="46"/>
      <c r="CX350" s="46"/>
      <c r="CY350" s="46"/>
      <c r="CZ350" s="46"/>
      <c r="DA350" s="46"/>
      <c r="DB350" s="46"/>
      <c r="DC350" s="46"/>
      <c r="DD350" s="46"/>
      <c r="DE350" s="46"/>
      <c r="DF350" s="46"/>
      <c r="DG350" s="46"/>
      <c r="DH350" s="46"/>
      <c r="DI350" s="46"/>
      <c r="DJ350" s="46"/>
      <c r="DK350" s="46"/>
      <c r="DL350" s="46"/>
      <c r="DM350" s="46"/>
      <c r="DN350" s="46"/>
      <c r="DO350" s="46"/>
      <c r="DP350" s="46"/>
      <c r="DQ350" s="46"/>
      <c r="DR350" s="46"/>
      <c r="DS350" s="46"/>
      <c r="DT350" s="46"/>
      <c r="DU350" s="46"/>
      <c r="DV350" s="46"/>
      <c r="DW350" s="46"/>
      <c r="DX350" s="46"/>
      <c r="DY350" s="46"/>
      <c r="DZ350" s="46"/>
      <c r="EA350" s="46"/>
      <c r="EB350" s="46"/>
      <c r="EC350" s="46"/>
      <c r="ED350" s="46"/>
      <c r="EE350" s="46"/>
      <c r="EF350" s="46"/>
      <c r="EG350" s="46"/>
      <c r="EH350" s="46"/>
      <c r="EI350" s="46"/>
      <c r="EJ350" s="46"/>
      <c r="EK350" s="46"/>
      <c r="EL350" s="46"/>
      <c r="EM350" s="46"/>
      <c r="EN350" s="46"/>
      <c r="EO350" s="46"/>
      <c r="EP350" s="46"/>
      <c r="EQ350" s="46"/>
      <c r="ER350" s="46"/>
      <c r="ES350" s="46"/>
      <c r="ET350" s="46"/>
      <c r="EU350" s="46"/>
      <c r="EV350" s="46"/>
      <c r="EW350" s="46"/>
      <c r="EX350" s="46"/>
      <c r="EY350" s="46"/>
      <c r="EZ350" s="46"/>
      <c r="FA350" s="46"/>
      <c r="FB350" s="46"/>
      <c r="FC350" s="46"/>
      <c r="FD350" s="46"/>
      <c r="FE350" s="46"/>
      <c r="FF350" s="46"/>
      <c r="FG350" s="46"/>
      <c r="FH350" s="46"/>
      <c r="FI350" s="46"/>
      <c r="FJ350" s="46"/>
      <c r="FK350" s="46"/>
      <c r="FL350" s="46"/>
      <c r="FM350" s="46"/>
      <c r="FN350" s="46"/>
      <c r="FO350" s="46"/>
      <c r="FP350" s="46"/>
      <c r="FQ350" s="46"/>
      <c r="FR350" s="46"/>
      <c r="FS350" s="46"/>
      <c r="FT350" s="46"/>
      <c r="FU350" s="46"/>
      <c r="FV350" s="46"/>
      <c r="FW350" s="46"/>
      <c r="FX350" s="46"/>
      <c r="FY350" s="46"/>
      <c r="FZ350" s="46"/>
      <c r="GA350" s="46"/>
      <c r="GB350" s="46"/>
      <c r="GC350" s="46"/>
      <c r="GD350" s="46"/>
      <c r="GE350" s="46"/>
      <c r="GF350" s="46"/>
      <c r="GG350" s="46"/>
      <c r="GH350" s="46"/>
      <c r="GI350" s="46"/>
      <c r="GJ350" s="46"/>
      <c r="GK350" s="46"/>
      <c r="GL350" s="46"/>
      <c r="GM350" s="46"/>
      <c r="GN350" s="46"/>
      <c r="GO350" s="46"/>
      <c r="GP350" s="46"/>
    </row>
    <row r="351" spans="1:198" ht="15" x14ac:dyDescent="0.2">
      <c r="A351" s="158" t="s">
        <v>350</v>
      </c>
      <c r="B351" s="68" t="s">
        <v>74</v>
      </c>
      <c r="C351" s="63">
        <v>16942983.210000001</v>
      </c>
      <c r="D351" s="62">
        <v>1675491609.6369002</v>
      </c>
      <c r="E351" s="16"/>
      <c r="F351" s="31"/>
      <c r="G351" s="46"/>
      <c r="H351" s="47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  <c r="BP351" s="46"/>
      <c r="BQ351" s="46"/>
      <c r="BR351" s="46"/>
      <c r="BS351" s="46"/>
      <c r="BT351" s="46"/>
      <c r="BU351" s="46"/>
      <c r="BV351" s="46"/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  <c r="CI351" s="46"/>
      <c r="CJ351" s="46"/>
      <c r="CK351" s="46"/>
      <c r="CL351" s="46"/>
      <c r="CM351" s="46"/>
      <c r="CN351" s="46"/>
      <c r="CO351" s="46"/>
      <c r="CP351" s="46"/>
      <c r="CQ351" s="46"/>
      <c r="CR351" s="46"/>
      <c r="CS351" s="46"/>
      <c r="CT351" s="46"/>
      <c r="CU351" s="46"/>
      <c r="CV351" s="46"/>
      <c r="CW351" s="46"/>
      <c r="CX351" s="46"/>
      <c r="CY351" s="46"/>
      <c r="CZ351" s="46"/>
      <c r="DA351" s="46"/>
      <c r="DB351" s="46"/>
      <c r="DC351" s="46"/>
      <c r="DD351" s="46"/>
      <c r="DE351" s="46"/>
      <c r="DF351" s="46"/>
      <c r="DG351" s="46"/>
      <c r="DH351" s="46"/>
      <c r="DI351" s="46"/>
      <c r="DJ351" s="46"/>
      <c r="DK351" s="46"/>
      <c r="DL351" s="46"/>
      <c r="DM351" s="46"/>
      <c r="DN351" s="46"/>
      <c r="DO351" s="46"/>
      <c r="DP351" s="46"/>
      <c r="DQ351" s="46"/>
      <c r="DR351" s="46"/>
      <c r="DS351" s="46"/>
      <c r="DT351" s="46"/>
      <c r="DU351" s="46"/>
      <c r="DV351" s="46"/>
      <c r="DW351" s="46"/>
      <c r="DX351" s="46"/>
      <c r="DY351" s="46"/>
      <c r="DZ351" s="46"/>
      <c r="EA351" s="46"/>
      <c r="EB351" s="46"/>
      <c r="EC351" s="46"/>
      <c r="ED351" s="46"/>
      <c r="EE351" s="46"/>
      <c r="EF351" s="46"/>
      <c r="EG351" s="46"/>
      <c r="EH351" s="46"/>
      <c r="EI351" s="46"/>
      <c r="EJ351" s="46"/>
      <c r="EK351" s="46"/>
      <c r="EL351" s="46"/>
      <c r="EM351" s="46"/>
      <c r="EN351" s="46"/>
      <c r="EO351" s="46"/>
      <c r="EP351" s="46"/>
      <c r="EQ351" s="46"/>
      <c r="ER351" s="46"/>
      <c r="ES351" s="46"/>
      <c r="ET351" s="46"/>
      <c r="EU351" s="46"/>
      <c r="EV351" s="46"/>
      <c r="EW351" s="46"/>
      <c r="EX351" s="46"/>
      <c r="EY351" s="46"/>
      <c r="EZ351" s="46"/>
      <c r="FA351" s="46"/>
      <c r="FB351" s="46"/>
      <c r="FC351" s="46"/>
      <c r="FD351" s="46"/>
      <c r="FE351" s="46"/>
      <c r="FF351" s="46"/>
      <c r="FG351" s="46"/>
      <c r="FH351" s="46"/>
      <c r="FI351" s="46"/>
      <c r="FJ351" s="46"/>
      <c r="FK351" s="46"/>
      <c r="FL351" s="46"/>
      <c r="FM351" s="46"/>
      <c r="FN351" s="46"/>
      <c r="FO351" s="46"/>
      <c r="FP351" s="46"/>
      <c r="FQ351" s="46"/>
      <c r="FR351" s="46"/>
      <c r="FS351" s="46"/>
      <c r="FT351" s="46"/>
      <c r="FU351" s="46"/>
      <c r="FV351" s="46"/>
      <c r="FW351" s="46"/>
      <c r="FX351" s="46"/>
      <c r="FY351" s="46"/>
      <c r="FZ351" s="46"/>
      <c r="GA351" s="46"/>
      <c r="GB351" s="46"/>
      <c r="GC351" s="46"/>
      <c r="GD351" s="46"/>
      <c r="GE351" s="46"/>
      <c r="GF351" s="46"/>
      <c r="GG351" s="46"/>
      <c r="GH351" s="46"/>
      <c r="GI351" s="46"/>
      <c r="GJ351" s="46"/>
      <c r="GK351" s="46"/>
      <c r="GL351" s="46"/>
      <c r="GM351" s="46"/>
      <c r="GN351" s="46"/>
      <c r="GO351" s="46"/>
      <c r="GP351" s="46"/>
    </row>
    <row r="352" spans="1:198" ht="15" x14ac:dyDescent="0.2">
      <c r="A352" s="119" t="s">
        <v>340</v>
      </c>
      <c r="B352" s="68" t="s">
        <v>74</v>
      </c>
      <c r="C352" s="63">
        <v>2606667</v>
      </c>
      <c r="D352" s="62">
        <v>257773299.63</v>
      </c>
      <c r="E352" s="16"/>
      <c r="F352" s="31"/>
      <c r="G352" s="46"/>
      <c r="H352" s="47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  <c r="CM352" s="46"/>
      <c r="CN352" s="46"/>
      <c r="CO352" s="46"/>
      <c r="CP352" s="46"/>
      <c r="CQ352" s="46"/>
      <c r="CR352" s="46"/>
      <c r="CS352" s="46"/>
      <c r="CT352" s="46"/>
      <c r="CU352" s="46"/>
      <c r="CV352" s="46"/>
      <c r="CW352" s="46"/>
      <c r="CX352" s="46"/>
      <c r="CY352" s="46"/>
      <c r="CZ352" s="46"/>
      <c r="DA352" s="46"/>
      <c r="DB352" s="46"/>
      <c r="DC352" s="46"/>
      <c r="DD352" s="46"/>
      <c r="DE352" s="46"/>
      <c r="DF352" s="46"/>
      <c r="DG352" s="46"/>
      <c r="DH352" s="46"/>
      <c r="DI352" s="46"/>
      <c r="DJ352" s="46"/>
      <c r="DK352" s="46"/>
      <c r="DL352" s="46"/>
      <c r="DM352" s="46"/>
      <c r="DN352" s="46"/>
      <c r="DO352" s="46"/>
      <c r="DP352" s="46"/>
      <c r="DQ352" s="46"/>
      <c r="DR352" s="46"/>
      <c r="DS352" s="46"/>
      <c r="DT352" s="46"/>
      <c r="DU352" s="46"/>
      <c r="DV352" s="46"/>
      <c r="DW352" s="46"/>
      <c r="DX352" s="46"/>
      <c r="DY352" s="46"/>
      <c r="DZ352" s="46"/>
      <c r="EA352" s="46"/>
      <c r="EB352" s="46"/>
      <c r="EC352" s="46"/>
      <c r="ED352" s="46"/>
      <c r="EE352" s="46"/>
      <c r="EF352" s="46"/>
      <c r="EG352" s="46"/>
      <c r="EH352" s="46"/>
      <c r="EI352" s="46"/>
      <c r="EJ352" s="46"/>
      <c r="EK352" s="46"/>
      <c r="EL352" s="46"/>
      <c r="EM352" s="46"/>
      <c r="EN352" s="46"/>
      <c r="EO352" s="46"/>
      <c r="EP352" s="46"/>
      <c r="EQ352" s="46"/>
      <c r="ER352" s="46"/>
      <c r="ES352" s="46"/>
      <c r="ET352" s="46"/>
      <c r="EU352" s="46"/>
      <c r="EV352" s="46"/>
      <c r="EW352" s="46"/>
      <c r="EX352" s="46"/>
      <c r="EY352" s="46"/>
      <c r="EZ352" s="46"/>
      <c r="FA352" s="46"/>
      <c r="FB352" s="46"/>
      <c r="FC352" s="46"/>
      <c r="FD352" s="46"/>
      <c r="FE352" s="46"/>
      <c r="FF352" s="46"/>
      <c r="FG352" s="46"/>
      <c r="FH352" s="46"/>
      <c r="FI352" s="46"/>
      <c r="FJ352" s="46"/>
      <c r="FK352" s="46"/>
      <c r="FL352" s="46"/>
      <c r="FM352" s="46"/>
      <c r="FN352" s="46"/>
      <c r="FO352" s="46"/>
      <c r="FP352" s="46"/>
      <c r="FQ352" s="46"/>
      <c r="FR352" s="46"/>
      <c r="FS352" s="46"/>
      <c r="FT352" s="46"/>
      <c r="FU352" s="46"/>
      <c r="FV352" s="46"/>
      <c r="FW352" s="46"/>
      <c r="FX352" s="46"/>
      <c r="FY352" s="46"/>
      <c r="FZ352" s="46"/>
      <c r="GA352" s="46"/>
      <c r="GB352" s="46"/>
      <c r="GC352" s="46"/>
      <c r="GD352" s="46"/>
      <c r="GE352" s="46"/>
      <c r="GF352" s="46"/>
      <c r="GG352" s="46"/>
      <c r="GH352" s="46"/>
      <c r="GI352" s="46"/>
      <c r="GJ352" s="46"/>
      <c r="GK352" s="46"/>
      <c r="GL352" s="46"/>
      <c r="GM352" s="46"/>
      <c r="GN352" s="46"/>
      <c r="GO352" s="46"/>
      <c r="GP352" s="46"/>
    </row>
    <row r="353" spans="1:198" ht="15" x14ac:dyDescent="0.2">
      <c r="A353" s="115"/>
      <c r="B353" s="68"/>
      <c r="C353" s="63"/>
      <c r="D353" s="110"/>
      <c r="E353" s="16"/>
      <c r="F353" s="31"/>
      <c r="G353" s="165"/>
      <c r="H353" s="4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  <c r="CM353" s="46"/>
      <c r="CN353" s="46"/>
      <c r="CO353" s="46"/>
      <c r="CP353" s="46"/>
      <c r="CQ353" s="46"/>
      <c r="CR353" s="46"/>
      <c r="CS353" s="46"/>
      <c r="CT353" s="46"/>
      <c r="CU353" s="46"/>
      <c r="CV353" s="46"/>
      <c r="CW353" s="46"/>
      <c r="CX353" s="46"/>
      <c r="CY353" s="46"/>
      <c r="CZ353" s="46"/>
      <c r="DA353" s="46"/>
      <c r="DB353" s="46"/>
      <c r="DC353" s="46"/>
      <c r="DD353" s="46"/>
      <c r="DE353" s="46"/>
      <c r="DF353" s="46"/>
      <c r="DG353" s="46"/>
      <c r="DH353" s="46"/>
      <c r="DI353" s="46"/>
      <c r="DJ353" s="46"/>
      <c r="DK353" s="46"/>
      <c r="DL353" s="46"/>
      <c r="DM353" s="46"/>
      <c r="DN353" s="46"/>
      <c r="DO353" s="46"/>
      <c r="DP353" s="46"/>
      <c r="DQ353" s="46"/>
      <c r="DR353" s="46"/>
      <c r="DS353" s="46"/>
      <c r="DT353" s="46"/>
      <c r="DU353" s="46"/>
      <c r="DV353" s="46"/>
      <c r="DW353" s="46"/>
      <c r="DX353" s="46"/>
      <c r="DY353" s="46"/>
      <c r="DZ353" s="46"/>
      <c r="EA353" s="46"/>
      <c r="EB353" s="46"/>
      <c r="EC353" s="46"/>
      <c r="ED353" s="46"/>
      <c r="EE353" s="46"/>
      <c r="EF353" s="46"/>
      <c r="EG353" s="46"/>
      <c r="EH353" s="46"/>
      <c r="EI353" s="46"/>
      <c r="EJ353" s="46"/>
      <c r="EK353" s="46"/>
      <c r="EL353" s="46"/>
      <c r="EM353" s="46"/>
      <c r="EN353" s="46"/>
      <c r="EO353" s="46"/>
      <c r="EP353" s="46"/>
      <c r="EQ353" s="46"/>
      <c r="ER353" s="46"/>
      <c r="ES353" s="46"/>
      <c r="ET353" s="46"/>
      <c r="EU353" s="46"/>
      <c r="EV353" s="46"/>
      <c r="EW353" s="46"/>
      <c r="EX353" s="46"/>
      <c r="EY353" s="46"/>
      <c r="EZ353" s="46"/>
      <c r="FA353" s="46"/>
      <c r="FB353" s="46"/>
      <c r="FC353" s="46"/>
      <c r="FD353" s="46"/>
      <c r="FE353" s="46"/>
      <c r="FF353" s="46"/>
      <c r="FG353" s="46"/>
      <c r="FH353" s="46"/>
      <c r="FI353" s="46"/>
      <c r="FJ353" s="46"/>
      <c r="FK353" s="46"/>
      <c r="FL353" s="46"/>
      <c r="FM353" s="46"/>
      <c r="FN353" s="46"/>
      <c r="FO353" s="46"/>
      <c r="FP353" s="46"/>
      <c r="FQ353" s="46"/>
      <c r="FR353" s="46"/>
      <c r="FS353" s="46"/>
      <c r="FT353" s="46"/>
      <c r="FU353" s="46"/>
      <c r="FV353" s="46"/>
      <c r="FW353" s="46"/>
      <c r="FX353" s="46"/>
      <c r="FY353" s="46"/>
      <c r="FZ353" s="46"/>
      <c r="GA353" s="46"/>
      <c r="GB353" s="46"/>
      <c r="GC353" s="46"/>
      <c r="GD353" s="46"/>
      <c r="GE353" s="46"/>
      <c r="GF353" s="46"/>
      <c r="GG353" s="46"/>
      <c r="GH353" s="46"/>
      <c r="GI353" s="46"/>
      <c r="GJ353" s="46"/>
      <c r="GK353" s="46"/>
      <c r="GL353" s="46"/>
      <c r="GM353" s="46"/>
      <c r="GN353" s="46"/>
      <c r="GO353" s="46"/>
      <c r="GP353" s="46"/>
    </row>
    <row r="354" spans="1:198" ht="15" x14ac:dyDescent="0.2">
      <c r="A354" s="115" t="s">
        <v>91</v>
      </c>
      <c r="B354" s="68"/>
      <c r="C354" s="63" t="s">
        <v>73</v>
      </c>
      <c r="D354" s="118">
        <v>122126655479.20496</v>
      </c>
      <c r="E354" s="16"/>
      <c r="F354" s="31"/>
      <c r="G354" s="47"/>
      <c r="H354" s="47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  <c r="CM354" s="46"/>
      <c r="CN354" s="46"/>
      <c r="CO354" s="46"/>
      <c r="CP354" s="46"/>
      <c r="CQ354" s="46"/>
      <c r="CR354" s="46"/>
      <c r="CS354" s="46"/>
      <c r="CT354" s="46"/>
      <c r="CU354" s="46"/>
      <c r="CV354" s="46"/>
      <c r="CW354" s="46"/>
      <c r="CX354" s="46"/>
      <c r="CY354" s="46"/>
      <c r="CZ354" s="46"/>
      <c r="DA354" s="46"/>
      <c r="DB354" s="46"/>
      <c r="DC354" s="46"/>
      <c r="DD354" s="46"/>
      <c r="DE354" s="46"/>
      <c r="DF354" s="46"/>
      <c r="DG354" s="46"/>
      <c r="DH354" s="46"/>
      <c r="DI354" s="46"/>
      <c r="DJ354" s="46"/>
      <c r="DK354" s="46"/>
      <c r="DL354" s="46"/>
      <c r="DM354" s="46"/>
      <c r="DN354" s="46"/>
      <c r="DO354" s="46"/>
      <c r="DP354" s="46"/>
      <c r="DQ354" s="46"/>
      <c r="DR354" s="46"/>
      <c r="DS354" s="46"/>
      <c r="DT354" s="46"/>
      <c r="DU354" s="46"/>
      <c r="DV354" s="46"/>
      <c r="DW354" s="46"/>
      <c r="DX354" s="46"/>
      <c r="DY354" s="46"/>
      <c r="DZ354" s="46"/>
      <c r="EA354" s="46"/>
      <c r="EB354" s="46"/>
      <c r="EC354" s="46"/>
      <c r="ED354" s="46"/>
      <c r="EE354" s="46"/>
      <c r="EF354" s="46"/>
      <c r="EG354" s="46"/>
      <c r="EH354" s="46"/>
      <c r="EI354" s="46"/>
      <c r="EJ354" s="46"/>
      <c r="EK354" s="46"/>
      <c r="EL354" s="46"/>
      <c r="EM354" s="46"/>
      <c r="EN354" s="46"/>
      <c r="EO354" s="46"/>
      <c r="EP354" s="46"/>
      <c r="EQ354" s="46"/>
      <c r="ER354" s="46"/>
      <c r="ES354" s="46"/>
      <c r="ET354" s="46"/>
      <c r="EU354" s="46"/>
      <c r="EV354" s="46"/>
      <c r="EW354" s="46"/>
      <c r="EX354" s="46"/>
      <c r="EY354" s="46"/>
      <c r="EZ354" s="46"/>
      <c r="FA354" s="46"/>
      <c r="FB354" s="46"/>
      <c r="FC354" s="46"/>
      <c r="FD354" s="46"/>
      <c r="FE354" s="46"/>
      <c r="FF354" s="46"/>
      <c r="FG354" s="46"/>
      <c r="FH354" s="46"/>
      <c r="FI354" s="46"/>
      <c r="FJ354" s="46"/>
      <c r="FK354" s="46"/>
      <c r="FL354" s="46"/>
      <c r="FM354" s="46"/>
      <c r="FN354" s="46"/>
      <c r="FO354" s="46"/>
      <c r="FP354" s="46"/>
      <c r="FQ354" s="46"/>
      <c r="FR354" s="46"/>
      <c r="FS354" s="46"/>
      <c r="FT354" s="46"/>
      <c r="FU354" s="46"/>
      <c r="FV354" s="46"/>
      <c r="FW354" s="46"/>
      <c r="FX354" s="46"/>
      <c r="FY354" s="46"/>
      <c r="FZ354" s="46"/>
      <c r="GA354" s="46"/>
      <c r="GB354" s="46"/>
      <c r="GC354" s="46"/>
      <c r="GD354" s="46"/>
      <c r="GE354" s="46"/>
      <c r="GF354" s="46"/>
      <c r="GG354" s="46"/>
      <c r="GH354" s="46"/>
      <c r="GI354" s="46"/>
      <c r="GJ354" s="46"/>
      <c r="GK354" s="46"/>
      <c r="GL354" s="46"/>
      <c r="GM354" s="46"/>
      <c r="GN354" s="46"/>
      <c r="GO354" s="46"/>
      <c r="GP354" s="46"/>
    </row>
    <row r="355" spans="1:198" x14ac:dyDescent="0.2">
      <c r="A355" s="100"/>
      <c r="B355" s="91"/>
      <c r="C355" s="92"/>
      <c r="D355" s="93"/>
      <c r="E355" s="20"/>
      <c r="F355" s="35"/>
      <c r="G355" s="46"/>
      <c r="H355" s="47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  <c r="CM355" s="46"/>
      <c r="CN355" s="46"/>
      <c r="CO355" s="46"/>
      <c r="CP355" s="46"/>
      <c r="CQ355" s="46"/>
      <c r="CR355" s="46"/>
      <c r="CS355" s="46"/>
      <c r="CT355" s="46"/>
      <c r="CU355" s="46"/>
      <c r="CV355" s="46"/>
      <c r="CW355" s="46"/>
      <c r="CX355" s="46"/>
      <c r="CY355" s="46"/>
      <c r="CZ355" s="46"/>
      <c r="DA355" s="46"/>
      <c r="DB355" s="46"/>
      <c r="DC355" s="46"/>
      <c r="DD355" s="46"/>
      <c r="DE355" s="46"/>
      <c r="DF355" s="46"/>
      <c r="DG355" s="46"/>
      <c r="DH355" s="46"/>
      <c r="DI355" s="46"/>
      <c r="DJ355" s="46"/>
      <c r="DK355" s="46"/>
      <c r="DL355" s="46"/>
      <c r="DM355" s="46"/>
      <c r="DN355" s="46"/>
      <c r="DO355" s="46"/>
      <c r="DP355" s="46"/>
      <c r="DQ355" s="46"/>
      <c r="DR355" s="46"/>
      <c r="DS355" s="46"/>
      <c r="DT355" s="46"/>
      <c r="DU355" s="46"/>
      <c r="DV355" s="46"/>
      <c r="DW355" s="46"/>
      <c r="DX355" s="46"/>
      <c r="DY355" s="46"/>
      <c r="DZ355" s="46"/>
      <c r="EA355" s="46"/>
      <c r="EB355" s="46"/>
      <c r="EC355" s="46"/>
      <c r="ED355" s="46"/>
      <c r="EE355" s="46"/>
      <c r="EF355" s="46"/>
      <c r="EG355" s="46"/>
      <c r="EH355" s="46"/>
      <c r="EI355" s="46"/>
      <c r="EJ355" s="46"/>
      <c r="EK355" s="46"/>
      <c r="EL355" s="46"/>
      <c r="EM355" s="46"/>
      <c r="EN355" s="46"/>
      <c r="EO355" s="46"/>
      <c r="EP355" s="46"/>
      <c r="EQ355" s="46"/>
      <c r="ER355" s="46"/>
      <c r="ES355" s="46"/>
      <c r="ET355" s="46"/>
      <c r="EU355" s="46"/>
      <c r="EV355" s="46"/>
      <c r="EW355" s="46"/>
      <c r="EX355" s="46"/>
      <c r="EY355" s="46"/>
      <c r="EZ355" s="46"/>
      <c r="FA355" s="46"/>
      <c r="FB355" s="46"/>
      <c r="FC355" s="46"/>
      <c r="FD355" s="46"/>
      <c r="FE355" s="46"/>
      <c r="FF355" s="46"/>
      <c r="FG355" s="46"/>
      <c r="FH355" s="46"/>
      <c r="FI355" s="46"/>
      <c r="FJ355" s="46"/>
      <c r="FK355" s="46"/>
      <c r="FL355" s="46"/>
      <c r="FM355" s="46"/>
      <c r="FN355" s="46"/>
      <c r="FO355" s="46"/>
      <c r="FP355" s="46"/>
      <c r="FQ355" s="46"/>
      <c r="FR355" s="46"/>
      <c r="FS355" s="46"/>
      <c r="FT355" s="46"/>
      <c r="FU355" s="46"/>
      <c r="FV355" s="46"/>
      <c r="FW355" s="46"/>
      <c r="FX355" s="46"/>
      <c r="FY355" s="46"/>
      <c r="FZ355" s="46"/>
      <c r="GA355" s="46"/>
      <c r="GB355" s="46"/>
      <c r="GC355" s="46"/>
      <c r="GD355" s="46"/>
      <c r="GE355" s="46"/>
      <c r="GF355" s="46"/>
      <c r="GG355" s="46"/>
      <c r="GH355" s="46"/>
      <c r="GI355" s="46"/>
      <c r="GJ355" s="46"/>
      <c r="GK355" s="46"/>
      <c r="GL355" s="46"/>
      <c r="GM355" s="46"/>
      <c r="GN355" s="46"/>
      <c r="GO355" s="46"/>
      <c r="GP355" s="46"/>
    </row>
    <row r="356" spans="1:198" s="46" customFormat="1" ht="15" x14ac:dyDescent="0.2">
      <c r="A356" s="61" t="s">
        <v>50</v>
      </c>
      <c r="B356" s="68"/>
      <c r="C356" s="63"/>
      <c r="D356" s="117"/>
      <c r="E356" s="44"/>
      <c r="F356" s="45"/>
      <c r="H356" s="47"/>
    </row>
    <row r="357" spans="1:198" ht="15" x14ac:dyDescent="0.2">
      <c r="A357" s="90"/>
      <c r="B357" s="73"/>
      <c r="C357" s="74"/>
      <c r="D357" s="75"/>
      <c r="E357" s="16" t="s">
        <v>73</v>
      </c>
      <c r="F357" s="31"/>
      <c r="G357" s="46"/>
      <c r="H357" s="47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  <c r="CM357" s="46"/>
      <c r="CN357" s="46"/>
      <c r="CO357" s="46"/>
      <c r="CP357" s="46"/>
      <c r="CQ357" s="46"/>
      <c r="CR357" s="46"/>
      <c r="CS357" s="46"/>
      <c r="CT357" s="46"/>
      <c r="CU357" s="46"/>
      <c r="CV357" s="46"/>
      <c r="CW357" s="46"/>
      <c r="CX357" s="46"/>
      <c r="CY357" s="46"/>
      <c r="CZ357" s="46"/>
      <c r="DA357" s="46"/>
      <c r="DB357" s="46"/>
      <c r="DC357" s="46"/>
      <c r="DD357" s="46"/>
      <c r="DE357" s="46"/>
      <c r="DF357" s="46"/>
      <c r="DG357" s="46"/>
      <c r="DH357" s="46"/>
      <c r="DI357" s="46"/>
      <c r="DJ357" s="46"/>
      <c r="DK357" s="46"/>
      <c r="DL357" s="46"/>
      <c r="DM357" s="46"/>
      <c r="DN357" s="46"/>
      <c r="DO357" s="46"/>
      <c r="DP357" s="46"/>
      <c r="DQ357" s="46"/>
      <c r="DR357" s="46"/>
      <c r="DS357" s="46"/>
      <c r="DT357" s="46"/>
      <c r="DU357" s="46"/>
      <c r="DV357" s="46"/>
      <c r="DW357" s="46"/>
      <c r="DX357" s="46"/>
      <c r="DY357" s="46"/>
      <c r="DZ357" s="46"/>
      <c r="EA357" s="46"/>
      <c r="EB357" s="46"/>
      <c r="EC357" s="46"/>
      <c r="ED357" s="46"/>
      <c r="EE357" s="46"/>
      <c r="EF357" s="46"/>
      <c r="EG357" s="46"/>
      <c r="EH357" s="46"/>
      <c r="EI357" s="46"/>
      <c r="EJ357" s="46"/>
      <c r="EK357" s="46"/>
      <c r="EL357" s="46"/>
      <c r="EM357" s="46"/>
      <c r="EN357" s="46"/>
      <c r="EO357" s="46"/>
      <c r="EP357" s="46"/>
      <c r="EQ357" s="46"/>
      <c r="ER357" s="46"/>
      <c r="ES357" s="46"/>
      <c r="ET357" s="46"/>
      <c r="EU357" s="46"/>
      <c r="EV357" s="46"/>
      <c r="EW357" s="46"/>
      <c r="EX357" s="46"/>
      <c r="EY357" s="46"/>
      <c r="EZ357" s="46"/>
      <c r="FA357" s="46"/>
      <c r="FB357" s="46"/>
      <c r="FC357" s="46"/>
      <c r="FD357" s="46"/>
      <c r="FE357" s="46"/>
      <c r="FF357" s="46"/>
      <c r="FG357" s="46"/>
      <c r="FH357" s="46"/>
      <c r="FI357" s="46"/>
      <c r="FJ357" s="46"/>
      <c r="FK357" s="46"/>
      <c r="FL357" s="46"/>
      <c r="FM357" s="46"/>
      <c r="FN357" s="46"/>
      <c r="FO357" s="46"/>
      <c r="FP357" s="46"/>
      <c r="FQ357" s="46"/>
      <c r="FR357" s="46"/>
      <c r="FS357" s="46"/>
      <c r="FT357" s="46"/>
      <c r="FU357" s="46"/>
      <c r="FV357" s="46"/>
      <c r="FW357" s="46"/>
      <c r="FX357" s="46"/>
      <c r="FY357" s="46"/>
      <c r="FZ357" s="46"/>
      <c r="GA357" s="46"/>
      <c r="GB357" s="46"/>
      <c r="GC357" s="46"/>
      <c r="GD357" s="46"/>
      <c r="GE357" s="46"/>
      <c r="GF357" s="46"/>
      <c r="GG357" s="46"/>
      <c r="GH357" s="46"/>
      <c r="GI357" s="46"/>
      <c r="GJ357" s="46"/>
      <c r="GK357" s="46"/>
      <c r="GL357" s="46"/>
      <c r="GM357" s="46"/>
      <c r="GN357" s="46"/>
      <c r="GO357" s="46"/>
      <c r="GP357" s="46"/>
    </row>
    <row r="358" spans="1:198" s="60" customFormat="1" ht="15" x14ac:dyDescent="0.2">
      <c r="A358" s="61" t="s">
        <v>0</v>
      </c>
      <c r="B358" s="114" t="s">
        <v>74</v>
      </c>
      <c r="C358" s="160">
        <v>1212573.3500000001</v>
      </c>
      <c r="D358" s="62">
        <v>119911378.58150001</v>
      </c>
      <c r="E358" s="58">
        <f>2251922.08-34644.96-34644.96</f>
        <v>2182632.16</v>
      </c>
      <c r="F358" s="59"/>
      <c r="G358" s="171"/>
      <c r="H358" s="172"/>
      <c r="I358" s="171"/>
      <c r="J358" s="171"/>
      <c r="K358" s="171"/>
      <c r="L358" s="171"/>
      <c r="M358" s="171"/>
      <c r="N358" s="171"/>
      <c r="O358" s="171"/>
      <c r="P358" s="171"/>
      <c r="Q358" s="171"/>
      <c r="R358" s="171"/>
      <c r="S358" s="171"/>
      <c r="T358" s="171"/>
      <c r="U358" s="171"/>
      <c r="V358" s="171"/>
      <c r="W358" s="171"/>
      <c r="X358" s="171"/>
      <c r="Y358" s="171"/>
      <c r="Z358" s="171"/>
      <c r="AA358" s="171"/>
      <c r="AB358" s="171"/>
      <c r="AC358" s="171"/>
      <c r="AD358" s="171"/>
      <c r="AE358" s="171"/>
      <c r="AF358" s="171"/>
      <c r="AG358" s="171"/>
      <c r="AH358" s="171"/>
      <c r="AI358" s="171"/>
      <c r="AJ358" s="171"/>
      <c r="AK358" s="171"/>
      <c r="AL358" s="171"/>
      <c r="AM358" s="171"/>
      <c r="AN358" s="171"/>
      <c r="AO358" s="171"/>
      <c r="AP358" s="171"/>
      <c r="AQ358" s="171"/>
      <c r="AR358" s="171"/>
      <c r="AS358" s="171"/>
      <c r="AT358" s="171"/>
      <c r="AU358" s="171"/>
      <c r="AV358" s="171"/>
      <c r="AW358" s="171"/>
      <c r="AX358" s="171"/>
      <c r="AY358" s="171"/>
      <c r="AZ358" s="171"/>
      <c r="BA358" s="171"/>
      <c r="BB358" s="171"/>
      <c r="BC358" s="171"/>
      <c r="BD358" s="171"/>
      <c r="BE358" s="171"/>
      <c r="BF358" s="171"/>
      <c r="BG358" s="171"/>
      <c r="BH358" s="171"/>
      <c r="BI358" s="171"/>
      <c r="BJ358" s="171"/>
      <c r="BK358" s="171"/>
      <c r="BL358" s="171"/>
      <c r="BM358" s="171"/>
      <c r="BN358" s="171"/>
      <c r="BO358" s="171"/>
      <c r="BP358" s="171"/>
      <c r="BQ358" s="171"/>
      <c r="BR358" s="171"/>
      <c r="BS358" s="171"/>
      <c r="BT358" s="171"/>
      <c r="BU358" s="171"/>
      <c r="BV358" s="171"/>
      <c r="BW358" s="171"/>
      <c r="BX358" s="171"/>
      <c r="BY358" s="171"/>
      <c r="BZ358" s="171"/>
      <c r="CA358" s="171"/>
      <c r="CB358" s="171"/>
      <c r="CC358" s="171"/>
      <c r="CD358" s="171"/>
      <c r="CE358" s="171"/>
      <c r="CF358" s="171"/>
      <c r="CG358" s="171"/>
      <c r="CH358" s="171"/>
      <c r="CI358" s="171"/>
      <c r="CJ358" s="171"/>
      <c r="CK358" s="171"/>
      <c r="CL358" s="171"/>
      <c r="CM358" s="171"/>
      <c r="CN358" s="171"/>
      <c r="CO358" s="171"/>
      <c r="CP358" s="171"/>
      <c r="CQ358" s="171"/>
      <c r="CR358" s="171"/>
      <c r="CS358" s="171"/>
      <c r="CT358" s="171"/>
      <c r="CU358" s="171"/>
      <c r="CV358" s="171"/>
      <c r="CW358" s="171"/>
      <c r="CX358" s="171"/>
      <c r="CY358" s="171"/>
      <c r="CZ358" s="171"/>
      <c r="DA358" s="171"/>
      <c r="DB358" s="171"/>
      <c r="DC358" s="171"/>
      <c r="DD358" s="171"/>
      <c r="DE358" s="171"/>
      <c r="DF358" s="171"/>
      <c r="DG358" s="171"/>
      <c r="DH358" s="171"/>
      <c r="DI358" s="171"/>
      <c r="DJ358" s="171"/>
      <c r="DK358" s="171"/>
      <c r="DL358" s="171"/>
      <c r="DM358" s="171"/>
      <c r="DN358" s="171"/>
      <c r="DO358" s="171"/>
      <c r="DP358" s="171"/>
      <c r="DQ358" s="171"/>
      <c r="DR358" s="171"/>
      <c r="DS358" s="171"/>
      <c r="DT358" s="171"/>
      <c r="DU358" s="171"/>
      <c r="DV358" s="171"/>
      <c r="DW358" s="171"/>
      <c r="DX358" s="171"/>
      <c r="DY358" s="171"/>
      <c r="DZ358" s="171"/>
      <c r="EA358" s="171"/>
      <c r="EB358" s="171"/>
      <c r="EC358" s="171"/>
      <c r="ED358" s="171"/>
      <c r="EE358" s="171"/>
      <c r="EF358" s="171"/>
      <c r="EG358" s="171"/>
      <c r="EH358" s="171"/>
      <c r="EI358" s="171"/>
      <c r="EJ358" s="171"/>
      <c r="EK358" s="171"/>
      <c r="EL358" s="171"/>
      <c r="EM358" s="171"/>
      <c r="EN358" s="171"/>
      <c r="EO358" s="171"/>
      <c r="EP358" s="171"/>
      <c r="EQ358" s="171"/>
      <c r="ER358" s="171"/>
      <c r="ES358" s="171"/>
      <c r="ET358" s="171"/>
      <c r="EU358" s="171"/>
      <c r="EV358" s="171"/>
      <c r="EW358" s="171"/>
      <c r="EX358" s="171"/>
      <c r="EY358" s="171"/>
      <c r="EZ358" s="171"/>
      <c r="FA358" s="171"/>
      <c r="FB358" s="171"/>
      <c r="FC358" s="171"/>
      <c r="FD358" s="171"/>
      <c r="FE358" s="171"/>
      <c r="FF358" s="171"/>
      <c r="FG358" s="171"/>
      <c r="FH358" s="171"/>
      <c r="FI358" s="171"/>
      <c r="FJ358" s="171"/>
      <c r="FK358" s="171"/>
      <c r="FL358" s="171"/>
      <c r="FM358" s="171"/>
      <c r="FN358" s="171"/>
      <c r="FO358" s="171"/>
      <c r="FP358" s="171"/>
      <c r="FQ358" s="171"/>
      <c r="FR358" s="171"/>
      <c r="FS358" s="171"/>
      <c r="FT358" s="171"/>
      <c r="FU358" s="171"/>
      <c r="FV358" s="171"/>
      <c r="FW358" s="171"/>
      <c r="FX358" s="171"/>
      <c r="FY358" s="171"/>
      <c r="FZ358" s="171"/>
      <c r="GA358" s="171"/>
      <c r="GB358" s="171"/>
      <c r="GC358" s="171"/>
      <c r="GD358" s="171"/>
      <c r="GE358" s="171"/>
      <c r="GF358" s="171"/>
      <c r="GG358" s="171"/>
      <c r="GH358" s="171"/>
      <c r="GI358" s="171"/>
      <c r="GJ358" s="171"/>
      <c r="GK358" s="171"/>
      <c r="GL358" s="171"/>
      <c r="GM358" s="171"/>
      <c r="GN358" s="171"/>
      <c r="GO358" s="171"/>
      <c r="GP358" s="171"/>
    </row>
    <row r="359" spans="1:198" s="60" customFormat="1" ht="15" x14ac:dyDescent="0.2">
      <c r="A359" s="61" t="s">
        <v>168</v>
      </c>
      <c r="B359" s="114" t="s">
        <v>74</v>
      </c>
      <c r="C359" s="160">
        <v>4248251.3499999996</v>
      </c>
      <c r="D359" s="62">
        <v>420109576.00149995</v>
      </c>
      <c r="E359" s="58">
        <f>8968530.55-157342.64-157342.64</f>
        <v>8653845.2699999996</v>
      </c>
      <c r="F359" s="59"/>
      <c r="G359" s="171"/>
      <c r="H359" s="172"/>
      <c r="I359" s="171"/>
      <c r="J359" s="171"/>
      <c r="K359" s="171"/>
      <c r="L359" s="171"/>
      <c r="M359" s="171"/>
      <c r="N359" s="171"/>
      <c r="O359" s="171"/>
      <c r="P359" s="171"/>
      <c r="Q359" s="171"/>
      <c r="R359" s="171"/>
      <c r="S359" s="171"/>
      <c r="T359" s="171"/>
      <c r="U359" s="171"/>
      <c r="V359" s="171"/>
      <c r="W359" s="171"/>
      <c r="X359" s="171"/>
      <c r="Y359" s="171"/>
      <c r="Z359" s="171"/>
      <c r="AA359" s="171"/>
      <c r="AB359" s="171"/>
      <c r="AC359" s="171"/>
      <c r="AD359" s="171"/>
      <c r="AE359" s="171"/>
      <c r="AF359" s="171"/>
      <c r="AG359" s="171"/>
      <c r="AH359" s="171"/>
      <c r="AI359" s="171"/>
      <c r="AJ359" s="171"/>
      <c r="AK359" s="171"/>
      <c r="AL359" s="171"/>
      <c r="AM359" s="171"/>
      <c r="AN359" s="171"/>
      <c r="AO359" s="171"/>
      <c r="AP359" s="171"/>
      <c r="AQ359" s="171"/>
      <c r="AR359" s="171"/>
      <c r="AS359" s="171"/>
      <c r="AT359" s="171"/>
      <c r="AU359" s="171"/>
      <c r="AV359" s="171"/>
      <c r="AW359" s="171"/>
      <c r="AX359" s="171"/>
      <c r="AY359" s="171"/>
      <c r="AZ359" s="171"/>
      <c r="BA359" s="171"/>
      <c r="BB359" s="171"/>
      <c r="BC359" s="171"/>
      <c r="BD359" s="171"/>
      <c r="BE359" s="171"/>
      <c r="BF359" s="171"/>
      <c r="BG359" s="171"/>
      <c r="BH359" s="171"/>
      <c r="BI359" s="171"/>
      <c r="BJ359" s="171"/>
      <c r="BK359" s="171"/>
      <c r="BL359" s="171"/>
      <c r="BM359" s="171"/>
      <c r="BN359" s="171"/>
      <c r="BO359" s="171"/>
      <c r="BP359" s="171"/>
      <c r="BQ359" s="171"/>
      <c r="BR359" s="171"/>
      <c r="BS359" s="171"/>
      <c r="BT359" s="171"/>
      <c r="BU359" s="171"/>
      <c r="BV359" s="171"/>
      <c r="BW359" s="171"/>
      <c r="BX359" s="171"/>
      <c r="BY359" s="171"/>
      <c r="BZ359" s="171"/>
      <c r="CA359" s="171"/>
      <c r="CB359" s="171"/>
      <c r="CC359" s="171"/>
      <c r="CD359" s="171"/>
      <c r="CE359" s="171"/>
      <c r="CF359" s="171"/>
      <c r="CG359" s="171"/>
      <c r="CH359" s="171"/>
      <c r="CI359" s="171"/>
      <c r="CJ359" s="171"/>
      <c r="CK359" s="171"/>
      <c r="CL359" s="171"/>
      <c r="CM359" s="171"/>
      <c r="CN359" s="171"/>
      <c r="CO359" s="171"/>
      <c r="CP359" s="171"/>
      <c r="CQ359" s="171"/>
      <c r="CR359" s="171"/>
      <c r="CS359" s="171"/>
      <c r="CT359" s="171"/>
      <c r="CU359" s="171"/>
      <c r="CV359" s="171"/>
      <c r="CW359" s="171"/>
      <c r="CX359" s="171"/>
      <c r="CY359" s="171"/>
      <c r="CZ359" s="171"/>
      <c r="DA359" s="171"/>
      <c r="DB359" s="171"/>
      <c r="DC359" s="171"/>
      <c r="DD359" s="171"/>
      <c r="DE359" s="171"/>
      <c r="DF359" s="171"/>
      <c r="DG359" s="171"/>
      <c r="DH359" s="171"/>
      <c r="DI359" s="171"/>
      <c r="DJ359" s="171"/>
      <c r="DK359" s="171"/>
      <c r="DL359" s="171"/>
      <c r="DM359" s="171"/>
      <c r="DN359" s="171"/>
      <c r="DO359" s="171"/>
      <c r="DP359" s="171"/>
      <c r="DQ359" s="171"/>
      <c r="DR359" s="171"/>
      <c r="DS359" s="171"/>
      <c r="DT359" s="171"/>
      <c r="DU359" s="171"/>
      <c r="DV359" s="171"/>
      <c r="DW359" s="171"/>
      <c r="DX359" s="171"/>
      <c r="DY359" s="171"/>
      <c r="DZ359" s="171"/>
      <c r="EA359" s="171"/>
      <c r="EB359" s="171"/>
      <c r="EC359" s="171"/>
      <c r="ED359" s="171"/>
      <c r="EE359" s="171"/>
      <c r="EF359" s="171"/>
      <c r="EG359" s="171"/>
      <c r="EH359" s="171"/>
      <c r="EI359" s="171"/>
      <c r="EJ359" s="171"/>
      <c r="EK359" s="171"/>
      <c r="EL359" s="171"/>
      <c r="EM359" s="171"/>
      <c r="EN359" s="171"/>
      <c r="EO359" s="171"/>
      <c r="EP359" s="171"/>
      <c r="EQ359" s="171"/>
      <c r="ER359" s="171"/>
      <c r="ES359" s="171"/>
      <c r="ET359" s="171"/>
      <c r="EU359" s="171"/>
      <c r="EV359" s="171"/>
      <c r="EW359" s="171"/>
      <c r="EX359" s="171"/>
      <c r="EY359" s="171"/>
      <c r="EZ359" s="171"/>
      <c r="FA359" s="171"/>
      <c r="FB359" s="171"/>
      <c r="FC359" s="171"/>
      <c r="FD359" s="171"/>
      <c r="FE359" s="171"/>
      <c r="FF359" s="171"/>
      <c r="FG359" s="171"/>
      <c r="FH359" s="171"/>
      <c r="FI359" s="171"/>
      <c r="FJ359" s="171"/>
      <c r="FK359" s="171"/>
      <c r="FL359" s="171"/>
      <c r="FM359" s="171"/>
      <c r="FN359" s="171"/>
      <c r="FO359" s="171"/>
      <c r="FP359" s="171"/>
      <c r="FQ359" s="171"/>
      <c r="FR359" s="171"/>
      <c r="FS359" s="171"/>
      <c r="FT359" s="171"/>
      <c r="FU359" s="171"/>
      <c r="FV359" s="171"/>
      <c r="FW359" s="171"/>
      <c r="FX359" s="171"/>
      <c r="FY359" s="171"/>
      <c r="FZ359" s="171"/>
      <c r="GA359" s="171"/>
      <c r="GB359" s="171"/>
      <c r="GC359" s="171"/>
      <c r="GD359" s="171"/>
      <c r="GE359" s="171"/>
      <c r="GF359" s="171"/>
      <c r="GG359" s="171"/>
      <c r="GH359" s="171"/>
      <c r="GI359" s="171"/>
      <c r="GJ359" s="171"/>
      <c r="GK359" s="171"/>
      <c r="GL359" s="171"/>
      <c r="GM359" s="171"/>
      <c r="GN359" s="171"/>
      <c r="GO359" s="171"/>
      <c r="GP359" s="171"/>
    </row>
    <row r="360" spans="1:198" s="60" customFormat="1" ht="15" x14ac:dyDescent="0.2">
      <c r="A360" s="61" t="s">
        <v>1</v>
      </c>
      <c r="B360" s="114" t="s">
        <v>74</v>
      </c>
      <c r="C360" s="160">
        <v>870220.95</v>
      </c>
      <c r="D360" s="62">
        <v>86056149.745499998</v>
      </c>
      <c r="E360" s="58">
        <f>1479572.15-29007.37-29007.36</f>
        <v>1421557.4199999997</v>
      </c>
      <c r="F360" s="59"/>
      <c r="G360" s="171"/>
      <c r="H360" s="172"/>
      <c r="I360" s="171"/>
      <c r="J360" s="171"/>
      <c r="K360" s="171"/>
      <c r="L360" s="171"/>
      <c r="M360" s="171"/>
      <c r="N360" s="171"/>
      <c r="O360" s="171"/>
      <c r="P360" s="171"/>
      <c r="Q360" s="171"/>
      <c r="R360" s="171"/>
      <c r="S360" s="171"/>
      <c r="T360" s="171"/>
      <c r="U360" s="171"/>
      <c r="V360" s="171"/>
      <c r="W360" s="171"/>
      <c r="X360" s="171"/>
      <c r="Y360" s="171"/>
      <c r="Z360" s="171"/>
      <c r="AA360" s="171"/>
      <c r="AB360" s="171"/>
      <c r="AC360" s="171"/>
      <c r="AD360" s="171"/>
      <c r="AE360" s="171"/>
      <c r="AF360" s="171"/>
      <c r="AG360" s="171"/>
      <c r="AH360" s="171"/>
      <c r="AI360" s="171"/>
      <c r="AJ360" s="171"/>
      <c r="AK360" s="171"/>
      <c r="AL360" s="171"/>
      <c r="AM360" s="171"/>
      <c r="AN360" s="171"/>
      <c r="AO360" s="171"/>
      <c r="AP360" s="171"/>
      <c r="AQ360" s="171"/>
      <c r="AR360" s="171"/>
      <c r="AS360" s="171"/>
      <c r="AT360" s="171"/>
      <c r="AU360" s="171"/>
      <c r="AV360" s="171"/>
      <c r="AW360" s="171"/>
      <c r="AX360" s="171"/>
      <c r="AY360" s="171"/>
      <c r="AZ360" s="171"/>
      <c r="BA360" s="171"/>
      <c r="BB360" s="171"/>
      <c r="BC360" s="171"/>
      <c r="BD360" s="171"/>
      <c r="BE360" s="171"/>
      <c r="BF360" s="171"/>
      <c r="BG360" s="171"/>
      <c r="BH360" s="171"/>
      <c r="BI360" s="171"/>
      <c r="BJ360" s="171"/>
      <c r="BK360" s="171"/>
      <c r="BL360" s="171"/>
      <c r="BM360" s="171"/>
      <c r="BN360" s="171"/>
      <c r="BO360" s="171"/>
      <c r="BP360" s="171"/>
      <c r="BQ360" s="171"/>
      <c r="BR360" s="171"/>
      <c r="BS360" s="171"/>
      <c r="BT360" s="171"/>
      <c r="BU360" s="171"/>
      <c r="BV360" s="171"/>
      <c r="BW360" s="171"/>
      <c r="BX360" s="171"/>
      <c r="BY360" s="171"/>
      <c r="BZ360" s="171"/>
      <c r="CA360" s="171"/>
      <c r="CB360" s="171"/>
      <c r="CC360" s="171"/>
      <c r="CD360" s="171"/>
      <c r="CE360" s="171"/>
      <c r="CF360" s="171"/>
      <c r="CG360" s="171"/>
      <c r="CH360" s="171"/>
      <c r="CI360" s="171"/>
      <c r="CJ360" s="171"/>
      <c r="CK360" s="171"/>
      <c r="CL360" s="171"/>
      <c r="CM360" s="171"/>
      <c r="CN360" s="171"/>
      <c r="CO360" s="171"/>
      <c r="CP360" s="171"/>
      <c r="CQ360" s="171"/>
      <c r="CR360" s="171"/>
      <c r="CS360" s="171"/>
      <c r="CT360" s="171"/>
      <c r="CU360" s="171"/>
      <c r="CV360" s="171"/>
      <c r="CW360" s="171"/>
      <c r="CX360" s="171"/>
      <c r="CY360" s="171"/>
      <c r="CZ360" s="171"/>
      <c r="DA360" s="171"/>
      <c r="DB360" s="171"/>
      <c r="DC360" s="171"/>
      <c r="DD360" s="171"/>
      <c r="DE360" s="171"/>
      <c r="DF360" s="171"/>
      <c r="DG360" s="171"/>
      <c r="DH360" s="171"/>
      <c r="DI360" s="171"/>
      <c r="DJ360" s="171"/>
      <c r="DK360" s="171"/>
      <c r="DL360" s="171"/>
      <c r="DM360" s="171"/>
      <c r="DN360" s="171"/>
      <c r="DO360" s="171"/>
      <c r="DP360" s="171"/>
      <c r="DQ360" s="171"/>
      <c r="DR360" s="171"/>
      <c r="DS360" s="171"/>
      <c r="DT360" s="171"/>
      <c r="DU360" s="171"/>
      <c r="DV360" s="171"/>
      <c r="DW360" s="171"/>
      <c r="DX360" s="171"/>
      <c r="DY360" s="171"/>
      <c r="DZ360" s="171"/>
      <c r="EA360" s="171"/>
      <c r="EB360" s="171"/>
      <c r="EC360" s="171"/>
      <c r="ED360" s="171"/>
      <c r="EE360" s="171"/>
      <c r="EF360" s="171"/>
      <c r="EG360" s="171"/>
      <c r="EH360" s="171"/>
      <c r="EI360" s="171"/>
      <c r="EJ360" s="171"/>
      <c r="EK360" s="171"/>
      <c r="EL360" s="171"/>
      <c r="EM360" s="171"/>
      <c r="EN360" s="171"/>
      <c r="EO360" s="171"/>
      <c r="EP360" s="171"/>
      <c r="EQ360" s="171"/>
      <c r="ER360" s="171"/>
      <c r="ES360" s="171"/>
      <c r="ET360" s="171"/>
      <c r="EU360" s="171"/>
      <c r="EV360" s="171"/>
      <c r="EW360" s="171"/>
      <c r="EX360" s="171"/>
      <c r="EY360" s="171"/>
      <c r="EZ360" s="171"/>
      <c r="FA360" s="171"/>
      <c r="FB360" s="171"/>
      <c r="FC360" s="171"/>
      <c r="FD360" s="171"/>
      <c r="FE360" s="171"/>
      <c r="FF360" s="171"/>
      <c r="FG360" s="171"/>
      <c r="FH360" s="171"/>
      <c r="FI360" s="171"/>
      <c r="FJ360" s="171"/>
      <c r="FK360" s="171"/>
      <c r="FL360" s="171"/>
      <c r="FM360" s="171"/>
      <c r="FN360" s="171"/>
      <c r="FO360" s="171"/>
      <c r="FP360" s="171"/>
      <c r="FQ360" s="171"/>
      <c r="FR360" s="171"/>
      <c r="FS360" s="171"/>
      <c r="FT360" s="171"/>
      <c r="FU360" s="171"/>
      <c r="FV360" s="171"/>
      <c r="FW360" s="171"/>
      <c r="FX360" s="171"/>
      <c r="FY360" s="171"/>
      <c r="FZ360" s="171"/>
      <c r="GA360" s="171"/>
      <c r="GB360" s="171"/>
      <c r="GC360" s="171"/>
      <c r="GD360" s="171"/>
      <c r="GE360" s="171"/>
      <c r="GF360" s="171"/>
      <c r="GG360" s="171"/>
      <c r="GH360" s="171"/>
      <c r="GI360" s="171"/>
      <c r="GJ360" s="171"/>
      <c r="GK360" s="171"/>
      <c r="GL360" s="171"/>
      <c r="GM360" s="171"/>
      <c r="GN360" s="171"/>
      <c r="GO360" s="171"/>
      <c r="GP360" s="171"/>
    </row>
    <row r="361" spans="1:198" s="171" customFormat="1" ht="15" x14ac:dyDescent="0.2">
      <c r="A361" s="61" t="s">
        <v>2</v>
      </c>
      <c r="B361" s="114" t="s">
        <v>97</v>
      </c>
      <c r="C361" s="160">
        <v>623818.4</v>
      </c>
      <c r="D361" s="62">
        <v>79212460.432000011</v>
      </c>
      <c r="E361" s="193"/>
      <c r="F361" s="194"/>
      <c r="H361" s="172"/>
    </row>
    <row r="362" spans="1:198" s="60" customFormat="1" ht="15" x14ac:dyDescent="0.2">
      <c r="A362" s="61" t="s">
        <v>336</v>
      </c>
      <c r="B362" s="114" t="s">
        <v>74</v>
      </c>
      <c r="C362" s="160">
        <v>4298673</v>
      </c>
      <c r="D362" s="62">
        <v>425095772.97000003</v>
      </c>
      <c r="E362" s="58"/>
      <c r="F362" s="59"/>
      <c r="G362" s="171"/>
      <c r="H362" s="172"/>
      <c r="I362" s="171"/>
      <c r="J362" s="171"/>
      <c r="K362" s="171"/>
      <c r="L362" s="171"/>
      <c r="M362" s="171"/>
      <c r="N362" s="171"/>
      <c r="O362" s="171"/>
      <c r="P362" s="171"/>
      <c r="Q362" s="171"/>
      <c r="R362" s="171"/>
      <c r="S362" s="171"/>
      <c r="T362" s="171"/>
      <c r="U362" s="171"/>
      <c r="V362" s="171"/>
      <c r="W362" s="171"/>
      <c r="X362" s="171"/>
      <c r="Y362" s="171"/>
      <c r="Z362" s="171"/>
      <c r="AA362" s="171"/>
      <c r="AB362" s="171"/>
      <c r="AC362" s="171"/>
      <c r="AD362" s="171"/>
      <c r="AE362" s="171"/>
      <c r="AF362" s="171"/>
      <c r="AG362" s="171"/>
      <c r="AH362" s="171"/>
      <c r="AI362" s="171"/>
      <c r="AJ362" s="171"/>
      <c r="AK362" s="171"/>
      <c r="AL362" s="171"/>
      <c r="AM362" s="171"/>
      <c r="AN362" s="171"/>
      <c r="AO362" s="171"/>
      <c r="AP362" s="171"/>
      <c r="AQ362" s="171"/>
      <c r="AR362" s="171"/>
      <c r="AS362" s="171"/>
      <c r="AT362" s="171"/>
      <c r="AU362" s="171"/>
      <c r="AV362" s="171"/>
      <c r="AW362" s="171"/>
      <c r="AX362" s="171"/>
      <c r="AY362" s="171"/>
      <c r="AZ362" s="171"/>
      <c r="BA362" s="171"/>
      <c r="BB362" s="171"/>
      <c r="BC362" s="171"/>
      <c r="BD362" s="171"/>
      <c r="BE362" s="171"/>
      <c r="BF362" s="171"/>
      <c r="BG362" s="171"/>
      <c r="BH362" s="171"/>
      <c r="BI362" s="171"/>
      <c r="BJ362" s="171"/>
      <c r="BK362" s="171"/>
      <c r="BL362" s="171"/>
      <c r="BM362" s="171"/>
      <c r="BN362" s="171"/>
      <c r="BO362" s="171"/>
      <c r="BP362" s="171"/>
      <c r="BQ362" s="171"/>
      <c r="BR362" s="171"/>
      <c r="BS362" s="171"/>
      <c r="BT362" s="171"/>
      <c r="BU362" s="171"/>
      <c r="BV362" s="171"/>
      <c r="BW362" s="171"/>
      <c r="BX362" s="171"/>
      <c r="BY362" s="171"/>
      <c r="BZ362" s="171"/>
      <c r="CA362" s="171"/>
      <c r="CB362" s="171"/>
      <c r="CC362" s="171"/>
      <c r="CD362" s="171"/>
      <c r="CE362" s="171"/>
      <c r="CF362" s="171"/>
      <c r="CG362" s="171"/>
      <c r="CH362" s="171"/>
      <c r="CI362" s="171"/>
      <c r="CJ362" s="171"/>
      <c r="CK362" s="171"/>
      <c r="CL362" s="171"/>
      <c r="CM362" s="171"/>
      <c r="CN362" s="171"/>
      <c r="CO362" s="171"/>
      <c r="CP362" s="171"/>
      <c r="CQ362" s="171"/>
      <c r="CR362" s="171"/>
      <c r="CS362" s="171"/>
      <c r="CT362" s="171"/>
      <c r="CU362" s="171"/>
      <c r="CV362" s="171"/>
      <c r="CW362" s="171"/>
      <c r="CX362" s="171"/>
      <c r="CY362" s="171"/>
      <c r="CZ362" s="171"/>
      <c r="DA362" s="171"/>
      <c r="DB362" s="171"/>
      <c r="DC362" s="171"/>
      <c r="DD362" s="171"/>
      <c r="DE362" s="171"/>
      <c r="DF362" s="171"/>
      <c r="DG362" s="171"/>
      <c r="DH362" s="171"/>
      <c r="DI362" s="171"/>
      <c r="DJ362" s="171"/>
      <c r="DK362" s="171"/>
      <c r="DL362" s="171"/>
      <c r="DM362" s="171"/>
      <c r="DN362" s="171"/>
      <c r="DO362" s="171"/>
      <c r="DP362" s="171"/>
      <c r="DQ362" s="171"/>
      <c r="DR362" s="171"/>
      <c r="DS362" s="171"/>
      <c r="DT362" s="171"/>
      <c r="DU362" s="171"/>
      <c r="DV362" s="171"/>
      <c r="DW362" s="171"/>
      <c r="DX362" s="171"/>
      <c r="DY362" s="171"/>
      <c r="DZ362" s="171"/>
      <c r="EA362" s="171"/>
      <c r="EB362" s="171"/>
      <c r="EC362" s="171"/>
      <c r="ED362" s="171"/>
      <c r="EE362" s="171"/>
      <c r="EF362" s="171"/>
      <c r="EG362" s="171"/>
      <c r="EH362" s="171"/>
      <c r="EI362" s="171"/>
      <c r="EJ362" s="171"/>
      <c r="EK362" s="171"/>
      <c r="EL362" s="171"/>
      <c r="EM362" s="171"/>
      <c r="EN362" s="171"/>
      <c r="EO362" s="171"/>
      <c r="EP362" s="171"/>
      <c r="EQ362" s="171"/>
      <c r="ER362" s="171"/>
      <c r="ES362" s="171"/>
      <c r="ET362" s="171"/>
      <c r="EU362" s="171"/>
      <c r="EV362" s="171"/>
      <c r="EW362" s="171"/>
      <c r="EX362" s="171"/>
      <c r="EY362" s="171"/>
      <c r="EZ362" s="171"/>
      <c r="FA362" s="171"/>
      <c r="FB362" s="171"/>
      <c r="FC362" s="171"/>
      <c r="FD362" s="171"/>
      <c r="FE362" s="171"/>
      <c r="FF362" s="171"/>
      <c r="FG362" s="171"/>
      <c r="FH362" s="171"/>
      <c r="FI362" s="171"/>
      <c r="FJ362" s="171"/>
      <c r="FK362" s="171"/>
      <c r="FL362" s="171"/>
      <c r="FM362" s="171"/>
      <c r="FN362" s="171"/>
      <c r="FO362" s="171"/>
      <c r="FP362" s="171"/>
      <c r="FQ362" s="171"/>
      <c r="FR362" s="171"/>
      <c r="FS362" s="171"/>
      <c r="FT362" s="171"/>
      <c r="FU362" s="171"/>
      <c r="FV362" s="171"/>
      <c r="FW362" s="171"/>
      <c r="FX362" s="171"/>
      <c r="FY362" s="171"/>
      <c r="FZ362" s="171"/>
      <c r="GA362" s="171"/>
      <c r="GB362" s="171"/>
      <c r="GC362" s="171"/>
      <c r="GD362" s="171"/>
      <c r="GE362" s="171"/>
      <c r="GF362" s="171"/>
      <c r="GG362" s="171"/>
      <c r="GH362" s="171"/>
      <c r="GI362" s="171"/>
      <c r="GJ362" s="171"/>
      <c r="GK362" s="171"/>
      <c r="GL362" s="171"/>
      <c r="GM362" s="171"/>
      <c r="GN362" s="171"/>
      <c r="GO362" s="171"/>
      <c r="GP362" s="171"/>
    </row>
    <row r="363" spans="1:198" ht="15" x14ac:dyDescent="0.2">
      <c r="A363" s="61" t="s">
        <v>3</v>
      </c>
      <c r="B363" s="114" t="s">
        <v>74</v>
      </c>
      <c r="C363" s="160">
        <v>589328</v>
      </c>
      <c r="D363" s="62">
        <v>58278645.920000002</v>
      </c>
      <c r="E363" s="16">
        <f>2553749.8-65480.76</f>
        <v>2488269.04</v>
      </c>
      <c r="F363" s="31"/>
      <c r="G363" s="46"/>
      <c r="H363" s="47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  <c r="CM363" s="46"/>
      <c r="CN363" s="46"/>
      <c r="CO363" s="46"/>
      <c r="CP363" s="46"/>
      <c r="CQ363" s="46"/>
      <c r="CR363" s="46"/>
      <c r="CS363" s="46"/>
      <c r="CT363" s="46"/>
      <c r="CU363" s="46"/>
      <c r="CV363" s="46"/>
      <c r="CW363" s="46"/>
      <c r="CX363" s="46"/>
      <c r="CY363" s="46"/>
      <c r="CZ363" s="46"/>
      <c r="DA363" s="46"/>
      <c r="DB363" s="46"/>
      <c r="DC363" s="46"/>
      <c r="DD363" s="46"/>
      <c r="DE363" s="46"/>
      <c r="DF363" s="46"/>
      <c r="DG363" s="46"/>
      <c r="DH363" s="46"/>
      <c r="DI363" s="46"/>
      <c r="DJ363" s="46"/>
      <c r="DK363" s="46"/>
      <c r="DL363" s="46"/>
      <c r="DM363" s="46"/>
      <c r="DN363" s="46"/>
      <c r="DO363" s="46"/>
      <c r="DP363" s="46"/>
      <c r="DQ363" s="46"/>
      <c r="DR363" s="46"/>
      <c r="DS363" s="46"/>
      <c r="DT363" s="46"/>
      <c r="DU363" s="46"/>
      <c r="DV363" s="46"/>
      <c r="DW363" s="46"/>
      <c r="DX363" s="46"/>
      <c r="DY363" s="46"/>
      <c r="DZ363" s="46"/>
      <c r="EA363" s="46"/>
      <c r="EB363" s="46"/>
      <c r="EC363" s="46"/>
      <c r="ED363" s="46"/>
      <c r="EE363" s="46"/>
      <c r="EF363" s="46"/>
      <c r="EG363" s="46"/>
      <c r="EH363" s="46"/>
      <c r="EI363" s="46"/>
      <c r="EJ363" s="46"/>
      <c r="EK363" s="46"/>
      <c r="EL363" s="46"/>
      <c r="EM363" s="46"/>
      <c r="EN363" s="46"/>
      <c r="EO363" s="46"/>
      <c r="EP363" s="46"/>
      <c r="EQ363" s="46"/>
      <c r="ER363" s="46"/>
      <c r="ES363" s="46"/>
      <c r="ET363" s="46"/>
      <c r="EU363" s="46"/>
      <c r="EV363" s="46"/>
      <c r="EW363" s="46"/>
      <c r="EX363" s="46"/>
      <c r="EY363" s="46"/>
      <c r="EZ363" s="46"/>
      <c r="FA363" s="46"/>
      <c r="FB363" s="46"/>
      <c r="FC363" s="46"/>
      <c r="FD363" s="46"/>
      <c r="FE363" s="46"/>
      <c r="FF363" s="46"/>
      <c r="FG363" s="46"/>
      <c r="FH363" s="46"/>
      <c r="FI363" s="46"/>
      <c r="FJ363" s="46"/>
      <c r="FK363" s="46"/>
      <c r="FL363" s="46"/>
      <c r="FM363" s="46"/>
      <c r="FN363" s="46"/>
      <c r="FO363" s="46"/>
      <c r="FP363" s="46"/>
      <c r="FQ363" s="46"/>
      <c r="FR363" s="46"/>
      <c r="FS363" s="46"/>
      <c r="FT363" s="46"/>
      <c r="FU363" s="46"/>
      <c r="FV363" s="46"/>
      <c r="FW363" s="46"/>
      <c r="FX363" s="46"/>
      <c r="FY363" s="46"/>
      <c r="FZ363" s="46"/>
      <c r="GA363" s="46"/>
      <c r="GB363" s="46"/>
      <c r="GC363" s="46"/>
      <c r="GD363" s="46"/>
      <c r="GE363" s="46"/>
      <c r="GF363" s="46"/>
      <c r="GG363" s="46"/>
      <c r="GH363" s="46"/>
      <c r="GI363" s="46"/>
      <c r="GJ363" s="46"/>
      <c r="GK363" s="46"/>
      <c r="GL363" s="46"/>
      <c r="GM363" s="46"/>
      <c r="GN363" s="46"/>
      <c r="GO363" s="46"/>
      <c r="GP363" s="46"/>
    </row>
    <row r="364" spans="1:198" ht="15" x14ac:dyDescent="0.2">
      <c r="A364" s="61" t="s">
        <v>4</v>
      </c>
      <c r="B364" s="114" t="s">
        <v>74</v>
      </c>
      <c r="C364" s="160">
        <v>10344827.77</v>
      </c>
      <c r="D364" s="62">
        <v>1023000018.1753</v>
      </c>
      <c r="E364" s="16">
        <f>6895989.33+7014098.67</f>
        <v>13910088</v>
      </c>
      <c r="F364" s="31"/>
      <c r="G364" s="46"/>
      <c r="H364" s="47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  <c r="CI364" s="46"/>
      <c r="CJ364" s="46"/>
      <c r="CK364" s="46"/>
      <c r="CL364" s="46"/>
      <c r="CM364" s="46"/>
      <c r="CN364" s="46"/>
      <c r="CO364" s="46"/>
      <c r="CP364" s="46"/>
      <c r="CQ364" s="46"/>
      <c r="CR364" s="46"/>
      <c r="CS364" s="46"/>
      <c r="CT364" s="46"/>
      <c r="CU364" s="46"/>
      <c r="CV364" s="46"/>
      <c r="CW364" s="46"/>
      <c r="CX364" s="46"/>
      <c r="CY364" s="46"/>
      <c r="CZ364" s="46"/>
      <c r="DA364" s="46"/>
      <c r="DB364" s="46"/>
      <c r="DC364" s="46"/>
      <c r="DD364" s="46"/>
      <c r="DE364" s="46"/>
      <c r="DF364" s="46"/>
      <c r="DG364" s="46"/>
      <c r="DH364" s="46"/>
      <c r="DI364" s="46"/>
      <c r="DJ364" s="46"/>
      <c r="DK364" s="46"/>
      <c r="DL364" s="46"/>
      <c r="DM364" s="46"/>
      <c r="DN364" s="46"/>
      <c r="DO364" s="46"/>
      <c r="DP364" s="46"/>
      <c r="DQ364" s="46"/>
      <c r="DR364" s="46"/>
      <c r="DS364" s="46"/>
      <c r="DT364" s="46"/>
      <c r="DU364" s="46"/>
      <c r="DV364" s="46"/>
      <c r="DW364" s="46"/>
      <c r="DX364" s="46"/>
      <c r="DY364" s="46"/>
      <c r="DZ364" s="46"/>
      <c r="EA364" s="46"/>
      <c r="EB364" s="46"/>
      <c r="EC364" s="46"/>
      <c r="ED364" s="46"/>
      <c r="EE364" s="46"/>
      <c r="EF364" s="46"/>
      <c r="EG364" s="46"/>
      <c r="EH364" s="46"/>
      <c r="EI364" s="46"/>
      <c r="EJ364" s="46"/>
      <c r="EK364" s="46"/>
      <c r="EL364" s="46"/>
      <c r="EM364" s="46"/>
      <c r="EN364" s="46"/>
      <c r="EO364" s="46"/>
      <c r="EP364" s="46"/>
      <c r="EQ364" s="46"/>
      <c r="ER364" s="46"/>
      <c r="ES364" s="46"/>
      <c r="ET364" s="46"/>
      <c r="EU364" s="46"/>
      <c r="EV364" s="46"/>
      <c r="EW364" s="46"/>
      <c r="EX364" s="46"/>
      <c r="EY364" s="46"/>
      <c r="EZ364" s="46"/>
      <c r="FA364" s="46"/>
      <c r="FB364" s="46"/>
      <c r="FC364" s="46"/>
      <c r="FD364" s="46"/>
      <c r="FE364" s="46"/>
      <c r="FF364" s="46"/>
      <c r="FG364" s="46"/>
      <c r="FH364" s="46"/>
      <c r="FI364" s="46"/>
      <c r="FJ364" s="46"/>
      <c r="FK364" s="46"/>
      <c r="FL364" s="46"/>
      <c r="FM364" s="46"/>
      <c r="FN364" s="46"/>
      <c r="FO364" s="46"/>
      <c r="FP364" s="46"/>
      <c r="FQ364" s="46"/>
      <c r="FR364" s="46"/>
      <c r="FS364" s="46"/>
      <c r="FT364" s="46"/>
      <c r="FU364" s="46"/>
      <c r="FV364" s="46"/>
      <c r="FW364" s="46"/>
      <c r="FX364" s="46"/>
      <c r="FY364" s="46"/>
      <c r="FZ364" s="46"/>
      <c r="GA364" s="46"/>
      <c r="GB364" s="46"/>
      <c r="GC364" s="46"/>
      <c r="GD364" s="46"/>
      <c r="GE364" s="46"/>
      <c r="GF364" s="46"/>
      <c r="GG364" s="46"/>
      <c r="GH364" s="46"/>
      <c r="GI364" s="46"/>
      <c r="GJ364" s="46"/>
      <c r="GK364" s="46"/>
      <c r="GL364" s="46"/>
      <c r="GM364" s="46"/>
      <c r="GN364" s="46"/>
      <c r="GO364" s="46"/>
      <c r="GP364" s="46"/>
    </row>
    <row r="365" spans="1:198" ht="15" x14ac:dyDescent="0.2">
      <c r="A365" s="61" t="s">
        <v>154</v>
      </c>
      <c r="B365" s="114" t="s">
        <v>74</v>
      </c>
      <c r="C365" s="160">
        <v>951669</v>
      </c>
      <c r="D365" s="62">
        <v>94110547.409999996</v>
      </c>
      <c r="E365" s="16">
        <f>954191.1+49064.35+2100+9825+13666.5</f>
        <v>1028846.95</v>
      </c>
      <c r="F365" s="31"/>
      <c r="G365" s="46"/>
      <c r="H365" s="47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  <c r="CI365" s="46"/>
      <c r="CJ365" s="46"/>
      <c r="CK365" s="46"/>
      <c r="CL365" s="46"/>
      <c r="CM365" s="46"/>
      <c r="CN365" s="46"/>
      <c r="CO365" s="46"/>
      <c r="CP365" s="46"/>
      <c r="CQ365" s="46"/>
      <c r="CR365" s="46"/>
      <c r="CS365" s="46"/>
      <c r="CT365" s="46"/>
      <c r="CU365" s="46"/>
      <c r="CV365" s="46"/>
      <c r="CW365" s="46"/>
      <c r="CX365" s="46"/>
      <c r="CY365" s="46"/>
      <c r="CZ365" s="46"/>
      <c r="DA365" s="46"/>
      <c r="DB365" s="46"/>
      <c r="DC365" s="46"/>
      <c r="DD365" s="46"/>
      <c r="DE365" s="46"/>
      <c r="DF365" s="46"/>
      <c r="DG365" s="46"/>
      <c r="DH365" s="46"/>
      <c r="DI365" s="46"/>
      <c r="DJ365" s="46"/>
      <c r="DK365" s="46"/>
      <c r="DL365" s="46"/>
      <c r="DM365" s="46"/>
      <c r="DN365" s="46"/>
      <c r="DO365" s="46"/>
      <c r="DP365" s="46"/>
      <c r="DQ365" s="46"/>
      <c r="DR365" s="46"/>
      <c r="DS365" s="46"/>
      <c r="DT365" s="46"/>
      <c r="DU365" s="46"/>
      <c r="DV365" s="46"/>
      <c r="DW365" s="46"/>
      <c r="DX365" s="46"/>
      <c r="DY365" s="46"/>
      <c r="DZ365" s="46"/>
      <c r="EA365" s="46"/>
      <c r="EB365" s="46"/>
      <c r="EC365" s="46"/>
      <c r="ED365" s="46"/>
      <c r="EE365" s="46"/>
      <c r="EF365" s="46"/>
      <c r="EG365" s="46"/>
      <c r="EH365" s="46"/>
      <c r="EI365" s="46"/>
      <c r="EJ365" s="46"/>
      <c r="EK365" s="46"/>
      <c r="EL365" s="46"/>
      <c r="EM365" s="46"/>
      <c r="EN365" s="46"/>
      <c r="EO365" s="46"/>
      <c r="EP365" s="46"/>
      <c r="EQ365" s="46"/>
      <c r="ER365" s="46"/>
      <c r="ES365" s="46"/>
      <c r="ET365" s="46"/>
      <c r="EU365" s="46"/>
      <c r="EV365" s="46"/>
      <c r="EW365" s="46"/>
      <c r="EX365" s="46"/>
      <c r="EY365" s="46"/>
      <c r="EZ365" s="46"/>
      <c r="FA365" s="46"/>
      <c r="FB365" s="46"/>
      <c r="FC365" s="46"/>
      <c r="FD365" s="46"/>
      <c r="FE365" s="46"/>
      <c r="FF365" s="46"/>
      <c r="FG365" s="46"/>
      <c r="FH365" s="46"/>
      <c r="FI365" s="46"/>
      <c r="FJ365" s="46"/>
      <c r="FK365" s="46"/>
      <c r="FL365" s="46"/>
      <c r="FM365" s="46"/>
      <c r="FN365" s="46"/>
      <c r="FO365" s="46"/>
      <c r="FP365" s="46"/>
      <c r="FQ365" s="46"/>
      <c r="FR365" s="46"/>
      <c r="FS365" s="46"/>
      <c r="FT365" s="46"/>
      <c r="FU365" s="46"/>
      <c r="FV365" s="46"/>
      <c r="FW365" s="46"/>
      <c r="FX365" s="46"/>
      <c r="FY365" s="46"/>
      <c r="FZ365" s="46"/>
      <c r="GA365" s="46"/>
      <c r="GB365" s="46"/>
      <c r="GC365" s="46"/>
      <c r="GD365" s="46"/>
      <c r="GE365" s="46"/>
      <c r="GF365" s="46"/>
      <c r="GG365" s="46"/>
      <c r="GH365" s="46"/>
      <c r="GI365" s="46"/>
      <c r="GJ365" s="46"/>
      <c r="GK365" s="46"/>
      <c r="GL365" s="46"/>
      <c r="GM365" s="46"/>
      <c r="GN365" s="46"/>
      <c r="GO365" s="46"/>
      <c r="GP365" s="46"/>
    </row>
    <row r="366" spans="1:198" ht="15" x14ac:dyDescent="0.2">
      <c r="A366" s="61" t="s">
        <v>5</v>
      </c>
      <c r="B366" s="114" t="s">
        <v>74</v>
      </c>
      <c r="C366" s="160">
        <v>0</v>
      </c>
      <c r="D366" s="62">
        <v>0</v>
      </c>
      <c r="E366" s="16">
        <f>610277.8-23472.22</f>
        <v>586805.58000000007</v>
      </c>
      <c r="F366" s="31"/>
      <c r="G366" s="46"/>
      <c r="H366" s="47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  <c r="CI366" s="46"/>
      <c r="CJ366" s="46"/>
      <c r="CK366" s="46"/>
      <c r="CL366" s="46"/>
      <c r="CM366" s="46"/>
      <c r="CN366" s="46"/>
      <c r="CO366" s="46"/>
      <c r="CP366" s="46"/>
      <c r="CQ366" s="46"/>
      <c r="CR366" s="46"/>
      <c r="CS366" s="46"/>
      <c r="CT366" s="46"/>
      <c r="CU366" s="46"/>
      <c r="CV366" s="46"/>
      <c r="CW366" s="46"/>
      <c r="CX366" s="46"/>
      <c r="CY366" s="46"/>
      <c r="CZ366" s="46"/>
      <c r="DA366" s="46"/>
      <c r="DB366" s="46"/>
      <c r="DC366" s="46"/>
      <c r="DD366" s="46"/>
      <c r="DE366" s="46"/>
      <c r="DF366" s="46"/>
      <c r="DG366" s="46"/>
      <c r="DH366" s="46"/>
      <c r="DI366" s="46"/>
      <c r="DJ366" s="46"/>
      <c r="DK366" s="46"/>
      <c r="DL366" s="46"/>
      <c r="DM366" s="46"/>
      <c r="DN366" s="46"/>
      <c r="DO366" s="46"/>
      <c r="DP366" s="46"/>
      <c r="DQ366" s="46"/>
      <c r="DR366" s="46"/>
      <c r="DS366" s="46"/>
      <c r="DT366" s="46"/>
      <c r="DU366" s="46"/>
      <c r="DV366" s="46"/>
      <c r="DW366" s="46"/>
      <c r="DX366" s="46"/>
      <c r="DY366" s="46"/>
      <c r="DZ366" s="46"/>
      <c r="EA366" s="46"/>
      <c r="EB366" s="46"/>
      <c r="EC366" s="46"/>
      <c r="ED366" s="46"/>
      <c r="EE366" s="46"/>
      <c r="EF366" s="46"/>
      <c r="EG366" s="46"/>
      <c r="EH366" s="46"/>
      <c r="EI366" s="46"/>
      <c r="EJ366" s="46"/>
      <c r="EK366" s="46"/>
      <c r="EL366" s="46"/>
      <c r="EM366" s="46"/>
      <c r="EN366" s="46"/>
      <c r="EO366" s="46"/>
      <c r="EP366" s="46"/>
      <c r="EQ366" s="46"/>
      <c r="ER366" s="46"/>
      <c r="ES366" s="46"/>
      <c r="ET366" s="46"/>
      <c r="EU366" s="46"/>
      <c r="EV366" s="46"/>
      <c r="EW366" s="46"/>
      <c r="EX366" s="46"/>
      <c r="EY366" s="46"/>
      <c r="EZ366" s="46"/>
      <c r="FA366" s="46"/>
      <c r="FB366" s="46"/>
      <c r="FC366" s="46"/>
      <c r="FD366" s="46"/>
      <c r="FE366" s="46"/>
      <c r="FF366" s="46"/>
      <c r="FG366" s="46"/>
      <c r="FH366" s="46"/>
      <c r="FI366" s="46"/>
      <c r="FJ366" s="46"/>
      <c r="FK366" s="46"/>
      <c r="FL366" s="46"/>
      <c r="FM366" s="46"/>
      <c r="FN366" s="46"/>
      <c r="FO366" s="46"/>
      <c r="FP366" s="46"/>
      <c r="FQ366" s="46"/>
      <c r="FR366" s="46"/>
      <c r="FS366" s="46"/>
      <c r="FT366" s="46"/>
      <c r="FU366" s="46"/>
      <c r="FV366" s="46"/>
      <c r="FW366" s="46"/>
      <c r="FX366" s="46"/>
      <c r="FY366" s="46"/>
      <c r="FZ366" s="46"/>
      <c r="GA366" s="46"/>
      <c r="GB366" s="46"/>
      <c r="GC366" s="46"/>
      <c r="GD366" s="46"/>
      <c r="GE366" s="46"/>
      <c r="GF366" s="46"/>
      <c r="GG366" s="46"/>
      <c r="GH366" s="46"/>
      <c r="GI366" s="46"/>
      <c r="GJ366" s="46"/>
      <c r="GK366" s="46"/>
      <c r="GL366" s="46"/>
      <c r="GM366" s="46"/>
      <c r="GN366" s="46"/>
      <c r="GO366" s="46"/>
      <c r="GP366" s="46"/>
    </row>
    <row r="367" spans="1:198" ht="15" x14ac:dyDescent="0.2">
      <c r="A367" s="61" t="s">
        <v>176</v>
      </c>
      <c r="B367" s="114" t="s">
        <v>74</v>
      </c>
      <c r="C367" s="160">
        <v>12916667</v>
      </c>
      <c r="D367" s="62">
        <v>1277329199.6300001</v>
      </c>
      <c r="E367" s="16">
        <f>25000000</f>
        <v>25000000</v>
      </c>
      <c r="F367" s="31"/>
      <c r="G367" s="46"/>
      <c r="H367" s="47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  <c r="BP367" s="46"/>
      <c r="BQ367" s="46"/>
      <c r="BR367" s="46"/>
      <c r="BS367" s="46"/>
      <c r="BT367" s="46"/>
      <c r="BU367" s="46"/>
      <c r="BV367" s="46"/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  <c r="CI367" s="46"/>
      <c r="CJ367" s="46"/>
      <c r="CK367" s="46"/>
      <c r="CL367" s="46"/>
      <c r="CM367" s="46"/>
      <c r="CN367" s="46"/>
      <c r="CO367" s="46"/>
      <c r="CP367" s="46"/>
      <c r="CQ367" s="46"/>
      <c r="CR367" s="46"/>
      <c r="CS367" s="46"/>
      <c r="CT367" s="46"/>
      <c r="CU367" s="46"/>
      <c r="CV367" s="46"/>
      <c r="CW367" s="46"/>
      <c r="CX367" s="46"/>
      <c r="CY367" s="46"/>
      <c r="CZ367" s="46"/>
      <c r="DA367" s="46"/>
      <c r="DB367" s="46"/>
      <c r="DC367" s="46"/>
      <c r="DD367" s="46"/>
      <c r="DE367" s="46"/>
      <c r="DF367" s="46"/>
      <c r="DG367" s="46"/>
      <c r="DH367" s="46"/>
      <c r="DI367" s="46"/>
      <c r="DJ367" s="46"/>
      <c r="DK367" s="46"/>
      <c r="DL367" s="46"/>
      <c r="DM367" s="46"/>
      <c r="DN367" s="46"/>
      <c r="DO367" s="46"/>
      <c r="DP367" s="46"/>
      <c r="DQ367" s="46"/>
      <c r="DR367" s="46"/>
      <c r="DS367" s="46"/>
      <c r="DT367" s="46"/>
      <c r="DU367" s="46"/>
      <c r="DV367" s="46"/>
      <c r="DW367" s="46"/>
      <c r="DX367" s="46"/>
      <c r="DY367" s="46"/>
      <c r="DZ367" s="46"/>
      <c r="EA367" s="46"/>
      <c r="EB367" s="46"/>
      <c r="EC367" s="46"/>
      <c r="ED367" s="46"/>
      <c r="EE367" s="46"/>
      <c r="EF367" s="46"/>
      <c r="EG367" s="46"/>
      <c r="EH367" s="46"/>
      <c r="EI367" s="46"/>
      <c r="EJ367" s="46"/>
      <c r="EK367" s="46"/>
      <c r="EL367" s="46"/>
      <c r="EM367" s="46"/>
      <c r="EN367" s="46"/>
      <c r="EO367" s="46"/>
      <c r="EP367" s="46"/>
      <c r="EQ367" s="46"/>
      <c r="ER367" s="46"/>
      <c r="ES367" s="46"/>
      <c r="ET367" s="46"/>
      <c r="EU367" s="46"/>
      <c r="EV367" s="46"/>
      <c r="EW367" s="46"/>
      <c r="EX367" s="46"/>
      <c r="EY367" s="46"/>
      <c r="EZ367" s="46"/>
      <c r="FA367" s="46"/>
      <c r="FB367" s="46"/>
      <c r="FC367" s="46"/>
      <c r="FD367" s="46"/>
      <c r="FE367" s="46"/>
      <c r="FF367" s="46"/>
      <c r="FG367" s="46"/>
      <c r="FH367" s="46"/>
      <c r="FI367" s="46"/>
      <c r="FJ367" s="46"/>
      <c r="FK367" s="46"/>
      <c r="FL367" s="46"/>
      <c r="FM367" s="46"/>
      <c r="FN367" s="46"/>
      <c r="FO367" s="46"/>
      <c r="FP367" s="46"/>
      <c r="FQ367" s="46"/>
      <c r="FR367" s="46"/>
      <c r="FS367" s="46"/>
      <c r="FT367" s="46"/>
      <c r="FU367" s="46"/>
      <c r="FV367" s="46"/>
      <c r="FW367" s="46"/>
      <c r="FX367" s="46"/>
      <c r="FY367" s="46"/>
      <c r="FZ367" s="46"/>
      <c r="GA367" s="46"/>
      <c r="GB367" s="46"/>
      <c r="GC367" s="46"/>
      <c r="GD367" s="46"/>
      <c r="GE367" s="46"/>
      <c r="GF367" s="46"/>
      <c r="GG367" s="46"/>
      <c r="GH367" s="46"/>
      <c r="GI367" s="46"/>
      <c r="GJ367" s="46"/>
      <c r="GK367" s="46"/>
      <c r="GL367" s="46"/>
      <c r="GM367" s="46"/>
      <c r="GN367" s="46"/>
      <c r="GO367" s="46"/>
      <c r="GP367" s="46"/>
    </row>
    <row r="368" spans="1:198" ht="15" x14ac:dyDescent="0.2">
      <c r="A368" s="61" t="s">
        <v>177</v>
      </c>
      <c r="B368" s="114" t="s">
        <v>74</v>
      </c>
      <c r="C368" s="160">
        <v>1950682</v>
      </c>
      <c r="D368" s="62">
        <v>192902942.97999999</v>
      </c>
      <c r="E368" s="16">
        <f>2271464.14+7316+29000</f>
        <v>2307780.14</v>
      </c>
      <c r="F368" s="31"/>
      <c r="G368" s="46"/>
      <c r="H368" s="47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  <c r="CZ368" s="46"/>
      <c r="DA368" s="46"/>
      <c r="DB368" s="46"/>
      <c r="DC368" s="46"/>
      <c r="DD368" s="46"/>
      <c r="DE368" s="46"/>
      <c r="DF368" s="46"/>
      <c r="DG368" s="46"/>
      <c r="DH368" s="46"/>
      <c r="DI368" s="46"/>
      <c r="DJ368" s="46"/>
      <c r="DK368" s="46"/>
      <c r="DL368" s="46"/>
      <c r="DM368" s="46"/>
      <c r="DN368" s="46"/>
      <c r="DO368" s="46"/>
      <c r="DP368" s="46"/>
      <c r="DQ368" s="46"/>
      <c r="DR368" s="46"/>
      <c r="DS368" s="46"/>
      <c r="DT368" s="46"/>
      <c r="DU368" s="46"/>
      <c r="DV368" s="46"/>
      <c r="DW368" s="46"/>
      <c r="DX368" s="46"/>
      <c r="DY368" s="46"/>
      <c r="DZ368" s="46"/>
      <c r="EA368" s="46"/>
      <c r="EB368" s="46"/>
      <c r="EC368" s="46"/>
      <c r="ED368" s="46"/>
      <c r="EE368" s="46"/>
      <c r="EF368" s="46"/>
      <c r="EG368" s="46"/>
      <c r="EH368" s="46"/>
      <c r="EI368" s="46"/>
      <c r="EJ368" s="46"/>
      <c r="EK368" s="46"/>
      <c r="EL368" s="46"/>
      <c r="EM368" s="46"/>
      <c r="EN368" s="46"/>
      <c r="EO368" s="46"/>
      <c r="EP368" s="46"/>
      <c r="EQ368" s="46"/>
      <c r="ER368" s="46"/>
      <c r="ES368" s="46"/>
      <c r="ET368" s="46"/>
      <c r="EU368" s="46"/>
      <c r="EV368" s="46"/>
      <c r="EW368" s="46"/>
      <c r="EX368" s="46"/>
      <c r="EY368" s="46"/>
      <c r="EZ368" s="46"/>
      <c r="FA368" s="46"/>
      <c r="FB368" s="46"/>
      <c r="FC368" s="46"/>
      <c r="FD368" s="46"/>
      <c r="FE368" s="46"/>
      <c r="FF368" s="46"/>
      <c r="FG368" s="46"/>
      <c r="FH368" s="46"/>
      <c r="FI368" s="46"/>
      <c r="FJ368" s="46"/>
      <c r="FK368" s="46"/>
      <c r="FL368" s="46"/>
      <c r="FM368" s="46"/>
      <c r="FN368" s="46"/>
      <c r="FO368" s="46"/>
      <c r="FP368" s="46"/>
      <c r="FQ368" s="46"/>
      <c r="FR368" s="46"/>
      <c r="FS368" s="46"/>
      <c r="FT368" s="46"/>
      <c r="FU368" s="46"/>
      <c r="FV368" s="46"/>
      <c r="FW368" s="46"/>
      <c r="FX368" s="46"/>
      <c r="FY368" s="46"/>
      <c r="FZ368" s="46"/>
      <c r="GA368" s="46"/>
      <c r="GB368" s="46"/>
      <c r="GC368" s="46"/>
      <c r="GD368" s="46"/>
      <c r="GE368" s="46"/>
      <c r="GF368" s="46"/>
      <c r="GG368" s="46"/>
      <c r="GH368" s="46"/>
      <c r="GI368" s="46"/>
      <c r="GJ368" s="46"/>
      <c r="GK368" s="46"/>
      <c r="GL368" s="46"/>
      <c r="GM368" s="46"/>
      <c r="GN368" s="46"/>
      <c r="GO368" s="46"/>
      <c r="GP368" s="46"/>
    </row>
    <row r="369" spans="1:198" ht="15" x14ac:dyDescent="0.2">
      <c r="A369" s="61" t="s">
        <v>338</v>
      </c>
      <c r="B369" s="114" t="s">
        <v>74</v>
      </c>
      <c r="C369" s="160">
        <v>5249175.91</v>
      </c>
      <c r="D369" s="62">
        <v>519091005.73989999</v>
      </c>
      <c r="E369" s="16">
        <f>233481.72+3548.67+296523.23+2027.49</f>
        <v>535581.11</v>
      </c>
      <c r="F369" s="31"/>
      <c r="G369" s="46"/>
      <c r="H369" s="47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  <c r="CM369" s="46"/>
      <c r="CN369" s="46"/>
      <c r="CO369" s="46"/>
      <c r="CP369" s="46"/>
      <c r="CQ369" s="46"/>
      <c r="CR369" s="46"/>
      <c r="CS369" s="46"/>
      <c r="CT369" s="46"/>
      <c r="CU369" s="46"/>
      <c r="CV369" s="46"/>
      <c r="CW369" s="46"/>
      <c r="CX369" s="46"/>
      <c r="CY369" s="46"/>
      <c r="CZ369" s="46"/>
      <c r="DA369" s="46"/>
      <c r="DB369" s="46"/>
      <c r="DC369" s="46"/>
      <c r="DD369" s="46"/>
      <c r="DE369" s="46"/>
      <c r="DF369" s="46"/>
      <c r="DG369" s="46"/>
      <c r="DH369" s="46"/>
      <c r="DI369" s="46"/>
      <c r="DJ369" s="46"/>
      <c r="DK369" s="46"/>
      <c r="DL369" s="46"/>
      <c r="DM369" s="46"/>
      <c r="DN369" s="46"/>
      <c r="DO369" s="46"/>
      <c r="DP369" s="46"/>
      <c r="DQ369" s="46"/>
      <c r="DR369" s="46"/>
      <c r="DS369" s="46"/>
      <c r="DT369" s="46"/>
      <c r="DU369" s="46"/>
      <c r="DV369" s="46"/>
      <c r="DW369" s="46"/>
      <c r="DX369" s="46"/>
      <c r="DY369" s="46"/>
      <c r="DZ369" s="46"/>
      <c r="EA369" s="46"/>
      <c r="EB369" s="46"/>
      <c r="EC369" s="46"/>
      <c r="ED369" s="46"/>
      <c r="EE369" s="46"/>
      <c r="EF369" s="46"/>
      <c r="EG369" s="46"/>
      <c r="EH369" s="46"/>
      <c r="EI369" s="46"/>
      <c r="EJ369" s="46"/>
      <c r="EK369" s="46"/>
      <c r="EL369" s="46"/>
      <c r="EM369" s="46"/>
      <c r="EN369" s="46"/>
      <c r="EO369" s="46"/>
      <c r="EP369" s="46"/>
      <c r="EQ369" s="46"/>
      <c r="ER369" s="46"/>
      <c r="ES369" s="46"/>
      <c r="ET369" s="46"/>
      <c r="EU369" s="46"/>
      <c r="EV369" s="46"/>
      <c r="EW369" s="46"/>
      <c r="EX369" s="46"/>
      <c r="EY369" s="46"/>
      <c r="EZ369" s="46"/>
      <c r="FA369" s="46"/>
      <c r="FB369" s="46"/>
      <c r="FC369" s="46"/>
      <c r="FD369" s="46"/>
      <c r="FE369" s="46"/>
      <c r="FF369" s="46"/>
      <c r="FG369" s="46"/>
      <c r="FH369" s="46"/>
      <c r="FI369" s="46"/>
      <c r="FJ369" s="46"/>
      <c r="FK369" s="46"/>
      <c r="FL369" s="46"/>
      <c r="FM369" s="46"/>
      <c r="FN369" s="46"/>
      <c r="FO369" s="46"/>
      <c r="FP369" s="46"/>
      <c r="FQ369" s="46"/>
      <c r="FR369" s="46"/>
      <c r="FS369" s="46"/>
      <c r="FT369" s="46"/>
      <c r="FU369" s="46"/>
      <c r="FV369" s="46"/>
      <c r="FW369" s="46"/>
      <c r="FX369" s="46"/>
      <c r="FY369" s="46"/>
      <c r="FZ369" s="46"/>
      <c r="GA369" s="46"/>
      <c r="GB369" s="46"/>
      <c r="GC369" s="46"/>
      <c r="GD369" s="46"/>
      <c r="GE369" s="46"/>
      <c r="GF369" s="46"/>
      <c r="GG369" s="46"/>
      <c r="GH369" s="46"/>
      <c r="GI369" s="46"/>
      <c r="GJ369" s="46"/>
      <c r="GK369" s="46"/>
      <c r="GL369" s="46"/>
      <c r="GM369" s="46"/>
      <c r="GN369" s="46"/>
      <c r="GO369" s="46"/>
      <c r="GP369" s="46"/>
    </row>
    <row r="370" spans="1:198" ht="15" x14ac:dyDescent="0.2">
      <c r="A370" s="61" t="s">
        <v>169</v>
      </c>
      <c r="B370" s="114" t="s">
        <v>74</v>
      </c>
      <c r="C370" s="160">
        <v>5410165.79</v>
      </c>
      <c r="D370" s="62">
        <v>535011294.97310001</v>
      </c>
      <c r="E370" s="16"/>
      <c r="F370" s="31"/>
      <c r="G370" s="46"/>
      <c r="H370" s="47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  <c r="CI370" s="46"/>
      <c r="CJ370" s="46"/>
      <c r="CK370" s="46"/>
      <c r="CL370" s="46"/>
      <c r="CM370" s="46"/>
      <c r="CN370" s="46"/>
      <c r="CO370" s="46"/>
      <c r="CP370" s="46"/>
      <c r="CQ370" s="46"/>
      <c r="CR370" s="46"/>
      <c r="CS370" s="46"/>
      <c r="CT370" s="46"/>
      <c r="CU370" s="46"/>
      <c r="CV370" s="46"/>
      <c r="CW370" s="46"/>
      <c r="CX370" s="46"/>
      <c r="CY370" s="46"/>
      <c r="CZ370" s="46"/>
      <c r="DA370" s="46"/>
      <c r="DB370" s="46"/>
      <c r="DC370" s="46"/>
      <c r="DD370" s="46"/>
      <c r="DE370" s="46"/>
      <c r="DF370" s="46"/>
      <c r="DG370" s="46"/>
      <c r="DH370" s="46"/>
      <c r="DI370" s="46"/>
      <c r="DJ370" s="46"/>
      <c r="DK370" s="46"/>
      <c r="DL370" s="46"/>
      <c r="DM370" s="46"/>
      <c r="DN370" s="46"/>
      <c r="DO370" s="46"/>
      <c r="DP370" s="46"/>
      <c r="DQ370" s="46"/>
      <c r="DR370" s="46"/>
      <c r="DS370" s="46"/>
      <c r="DT370" s="46"/>
      <c r="DU370" s="46"/>
      <c r="DV370" s="46"/>
      <c r="DW370" s="46"/>
      <c r="DX370" s="46"/>
      <c r="DY370" s="46"/>
      <c r="DZ370" s="46"/>
      <c r="EA370" s="46"/>
      <c r="EB370" s="46"/>
      <c r="EC370" s="46"/>
      <c r="ED370" s="46"/>
      <c r="EE370" s="46"/>
      <c r="EF370" s="46"/>
      <c r="EG370" s="46"/>
      <c r="EH370" s="46"/>
      <c r="EI370" s="46"/>
      <c r="EJ370" s="46"/>
      <c r="EK370" s="46"/>
      <c r="EL370" s="46"/>
      <c r="EM370" s="46"/>
      <c r="EN370" s="46"/>
      <c r="EO370" s="46"/>
      <c r="EP370" s="46"/>
      <c r="EQ370" s="46"/>
      <c r="ER370" s="46"/>
      <c r="ES370" s="46"/>
      <c r="ET370" s="46"/>
      <c r="EU370" s="46"/>
      <c r="EV370" s="46"/>
      <c r="EW370" s="46"/>
      <c r="EX370" s="46"/>
      <c r="EY370" s="46"/>
      <c r="EZ370" s="46"/>
      <c r="FA370" s="46"/>
      <c r="FB370" s="46"/>
      <c r="FC370" s="46"/>
      <c r="FD370" s="46"/>
      <c r="FE370" s="46"/>
      <c r="FF370" s="46"/>
      <c r="FG370" s="46"/>
      <c r="FH370" s="46"/>
      <c r="FI370" s="46"/>
      <c r="FJ370" s="46"/>
      <c r="FK370" s="46"/>
      <c r="FL370" s="46"/>
      <c r="FM370" s="46"/>
      <c r="FN370" s="46"/>
      <c r="FO370" s="46"/>
      <c r="FP370" s="46"/>
      <c r="FQ370" s="46"/>
      <c r="FR370" s="46"/>
      <c r="FS370" s="46"/>
      <c r="FT370" s="46"/>
      <c r="FU370" s="46"/>
      <c r="FV370" s="46"/>
      <c r="FW370" s="46"/>
      <c r="FX370" s="46"/>
      <c r="FY370" s="46"/>
      <c r="FZ370" s="46"/>
      <c r="GA370" s="46"/>
      <c r="GB370" s="46"/>
      <c r="GC370" s="46"/>
      <c r="GD370" s="46"/>
      <c r="GE370" s="46"/>
      <c r="GF370" s="46"/>
      <c r="GG370" s="46"/>
      <c r="GH370" s="46"/>
      <c r="GI370" s="46"/>
      <c r="GJ370" s="46"/>
      <c r="GK370" s="46"/>
      <c r="GL370" s="46"/>
      <c r="GM370" s="46"/>
      <c r="GN370" s="46"/>
      <c r="GO370" s="46"/>
      <c r="GP370" s="46"/>
    </row>
    <row r="371" spans="1:198" ht="15" x14ac:dyDescent="0.2">
      <c r="A371" s="119" t="s">
        <v>159</v>
      </c>
      <c r="B371" s="26" t="s">
        <v>164</v>
      </c>
      <c r="C371" s="161">
        <v>91751</v>
      </c>
      <c r="D371" s="62">
        <v>9073256.3900000006</v>
      </c>
      <c r="E371" s="20"/>
      <c r="F371" s="31"/>
      <c r="G371" s="46"/>
      <c r="H371" s="47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  <c r="CM371" s="46"/>
      <c r="CN371" s="46"/>
      <c r="CO371" s="46"/>
      <c r="CP371" s="46"/>
      <c r="CQ371" s="46"/>
      <c r="CR371" s="46"/>
      <c r="CS371" s="46"/>
      <c r="CT371" s="46"/>
      <c r="CU371" s="46"/>
      <c r="CV371" s="46"/>
      <c r="CW371" s="46"/>
      <c r="CX371" s="46"/>
      <c r="CY371" s="46"/>
      <c r="CZ371" s="46"/>
      <c r="DA371" s="46"/>
      <c r="DB371" s="46"/>
      <c r="DC371" s="46"/>
      <c r="DD371" s="46"/>
      <c r="DE371" s="46"/>
      <c r="DF371" s="46"/>
      <c r="DG371" s="46"/>
      <c r="DH371" s="46"/>
      <c r="DI371" s="46"/>
      <c r="DJ371" s="46"/>
      <c r="DK371" s="46"/>
      <c r="DL371" s="46"/>
      <c r="DM371" s="46"/>
      <c r="DN371" s="46"/>
      <c r="DO371" s="46"/>
      <c r="DP371" s="46"/>
      <c r="DQ371" s="46"/>
      <c r="DR371" s="46"/>
      <c r="DS371" s="46"/>
      <c r="DT371" s="46"/>
      <c r="DU371" s="46"/>
      <c r="DV371" s="46"/>
      <c r="DW371" s="46"/>
      <c r="DX371" s="46"/>
      <c r="DY371" s="46"/>
      <c r="DZ371" s="46"/>
      <c r="EA371" s="46"/>
      <c r="EB371" s="46"/>
      <c r="EC371" s="46"/>
      <c r="ED371" s="46"/>
      <c r="EE371" s="46"/>
      <c r="EF371" s="46"/>
      <c r="EG371" s="46"/>
      <c r="EH371" s="46"/>
      <c r="EI371" s="46"/>
      <c r="EJ371" s="46"/>
      <c r="EK371" s="46"/>
      <c r="EL371" s="46"/>
      <c r="EM371" s="46"/>
      <c r="EN371" s="46"/>
      <c r="EO371" s="46"/>
      <c r="EP371" s="46"/>
      <c r="EQ371" s="46"/>
      <c r="ER371" s="46"/>
      <c r="ES371" s="46"/>
      <c r="ET371" s="46"/>
      <c r="EU371" s="46"/>
      <c r="EV371" s="46"/>
      <c r="EW371" s="46"/>
      <c r="EX371" s="46"/>
      <c r="EY371" s="46"/>
      <c r="EZ371" s="46"/>
      <c r="FA371" s="46"/>
      <c r="FB371" s="46"/>
      <c r="FC371" s="46"/>
      <c r="FD371" s="46"/>
      <c r="FE371" s="46"/>
      <c r="FF371" s="46"/>
      <c r="FG371" s="46"/>
      <c r="FH371" s="46"/>
      <c r="FI371" s="46"/>
      <c r="FJ371" s="46"/>
      <c r="FK371" s="46"/>
      <c r="FL371" s="46"/>
      <c r="FM371" s="46"/>
      <c r="FN371" s="46"/>
      <c r="FO371" s="46"/>
      <c r="FP371" s="46"/>
      <c r="FQ371" s="46"/>
      <c r="FR371" s="46"/>
      <c r="FS371" s="46"/>
      <c r="FT371" s="46"/>
      <c r="FU371" s="46"/>
      <c r="FV371" s="46"/>
      <c r="FW371" s="46"/>
      <c r="FX371" s="46"/>
      <c r="FY371" s="46"/>
      <c r="FZ371" s="46"/>
      <c r="GA371" s="46"/>
      <c r="GB371" s="46"/>
      <c r="GC371" s="46"/>
      <c r="GD371" s="46"/>
      <c r="GE371" s="46"/>
      <c r="GF371" s="46"/>
      <c r="GG371" s="46"/>
      <c r="GH371" s="46"/>
      <c r="GI371" s="46"/>
      <c r="GJ371" s="46"/>
      <c r="GK371" s="46"/>
      <c r="GL371" s="46"/>
      <c r="GM371" s="46"/>
      <c r="GN371" s="46"/>
      <c r="GO371" s="46"/>
      <c r="GP371" s="46"/>
    </row>
    <row r="372" spans="1:198" ht="15" x14ac:dyDescent="0.2">
      <c r="A372" s="61" t="s">
        <v>145</v>
      </c>
      <c r="B372" s="114" t="s">
        <v>74</v>
      </c>
      <c r="C372" s="160">
        <v>4415015.1399999997</v>
      </c>
      <c r="D372" s="62">
        <v>436600847.19459999</v>
      </c>
      <c r="E372" s="16">
        <f>408869.33+191069.8+2393468.67</f>
        <v>2993407.8</v>
      </c>
      <c r="F372" s="31"/>
      <c r="G372" s="46"/>
      <c r="H372" s="47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  <c r="CM372" s="46"/>
      <c r="CN372" s="46"/>
      <c r="CO372" s="46"/>
      <c r="CP372" s="46"/>
      <c r="CQ372" s="46"/>
      <c r="CR372" s="46"/>
      <c r="CS372" s="46"/>
      <c r="CT372" s="46"/>
      <c r="CU372" s="46"/>
      <c r="CV372" s="46"/>
      <c r="CW372" s="46"/>
      <c r="CX372" s="46"/>
      <c r="CY372" s="46"/>
      <c r="CZ372" s="46"/>
      <c r="DA372" s="46"/>
      <c r="DB372" s="46"/>
      <c r="DC372" s="46"/>
      <c r="DD372" s="46"/>
      <c r="DE372" s="46"/>
      <c r="DF372" s="46"/>
      <c r="DG372" s="46"/>
      <c r="DH372" s="46"/>
      <c r="DI372" s="46"/>
      <c r="DJ372" s="46"/>
      <c r="DK372" s="46"/>
      <c r="DL372" s="46"/>
      <c r="DM372" s="46"/>
      <c r="DN372" s="46"/>
      <c r="DO372" s="46"/>
      <c r="DP372" s="46"/>
      <c r="DQ372" s="46"/>
      <c r="DR372" s="46"/>
      <c r="DS372" s="46"/>
      <c r="DT372" s="46"/>
      <c r="DU372" s="46"/>
      <c r="DV372" s="46"/>
      <c r="DW372" s="46"/>
      <c r="DX372" s="46"/>
      <c r="DY372" s="46"/>
      <c r="DZ372" s="46"/>
      <c r="EA372" s="46"/>
      <c r="EB372" s="46"/>
      <c r="EC372" s="46"/>
      <c r="ED372" s="46"/>
      <c r="EE372" s="46"/>
      <c r="EF372" s="46"/>
      <c r="EG372" s="46"/>
      <c r="EH372" s="46"/>
      <c r="EI372" s="46"/>
      <c r="EJ372" s="46"/>
      <c r="EK372" s="46"/>
      <c r="EL372" s="46"/>
      <c r="EM372" s="46"/>
      <c r="EN372" s="46"/>
      <c r="EO372" s="46"/>
      <c r="EP372" s="46"/>
      <c r="EQ372" s="46"/>
      <c r="ER372" s="46"/>
      <c r="ES372" s="46"/>
      <c r="ET372" s="46"/>
      <c r="EU372" s="46"/>
      <c r="EV372" s="46"/>
      <c r="EW372" s="46"/>
      <c r="EX372" s="46"/>
      <c r="EY372" s="46"/>
      <c r="EZ372" s="46"/>
      <c r="FA372" s="46"/>
      <c r="FB372" s="46"/>
      <c r="FC372" s="46"/>
      <c r="FD372" s="46"/>
      <c r="FE372" s="46"/>
      <c r="FF372" s="46"/>
      <c r="FG372" s="46"/>
      <c r="FH372" s="46"/>
      <c r="FI372" s="46"/>
      <c r="FJ372" s="46"/>
      <c r="FK372" s="46"/>
      <c r="FL372" s="46"/>
      <c r="FM372" s="46"/>
      <c r="FN372" s="46"/>
      <c r="FO372" s="46"/>
      <c r="FP372" s="46"/>
      <c r="FQ372" s="46"/>
      <c r="FR372" s="46"/>
      <c r="FS372" s="46"/>
      <c r="FT372" s="46"/>
      <c r="FU372" s="46"/>
      <c r="FV372" s="46"/>
      <c r="FW372" s="46"/>
      <c r="FX372" s="46"/>
      <c r="FY372" s="46"/>
      <c r="FZ372" s="46"/>
      <c r="GA372" s="46"/>
      <c r="GB372" s="46"/>
      <c r="GC372" s="46"/>
      <c r="GD372" s="46"/>
      <c r="GE372" s="46"/>
      <c r="GF372" s="46"/>
      <c r="GG372" s="46"/>
      <c r="GH372" s="46"/>
      <c r="GI372" s="46"/>
      <c r="GJ372" s="46"/>
      <c r="GK372" s="46"/>
      <c r="GL372" s="46"/>
      <c r="GM372" s="46"/>
      <c r="GN372" s="46"/>
      <c r="GO372" s="46"/>
      <c r="GP372" s="46"/>
    </row>
    <row r="373" spans="1:198" ht="15" x14ac:dyDescent="0.2">
      <c r="A373" s="61" t="s">
        <v>146</v>
      </c>
      <c r="B373" s="114" t="s">
        <v>74</v>
      </c>
      <c r="C373" s="160">
        <v>109375</v>
      </c>
      <c r="D373" s="62">
        <v>10816093.75</v>
      </c>
      <c r="E373" s="16"/>
      <c r="F373" s="31"/>
      <c r="G373" s="46"/>
      <c r="H373" s="47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  <c r="CM373" s="46"/>
      <c r="CN373" s="46"/>
      <c r="CO373" s="46"/>
      <c r="CP373" s="46"/>
      <c r="CQ373" s="46"/>
      <c r="CR373" s="46"/>
      <c r="CS373" s="46"/>
      <c r="CT373" s="46"/>
      <c r="CU373" s="46"/>
      <c r="CV373" s="46"/>
      <c r="CW373" s="46"/>
      <c r="CX373" s="46"/>
      <c r="CY373" s="46"/>
      <c r="CZ373" s="46"/>
      <c r="DA373" s="46"/>
      <c r="DB373" s="46"/>
      <c r="DC373" s="46"/>
      <c r="DD373" s="46"/>
      <c r="DE373" s="46"/>
      <c r="DF373" s="46"/>
      <c r="DG373" s="46"/>
      <c r="DH373" s="46"/>
      <c r="DI373" s="46"/>
      <c r="DJ373" s="46"/>
      <c r="DK373" s="46"/>
      <c r="DL373" s="46"/>
      <c r="DM373" s="46"/>
      <c r="DN373" s="46"/>
      <c r="DO373" s="46"/>
      <c r="DP373" s="46"/>
      <c r="DQ373" s="46"/>
      <c r="DR373" s="46"/>
      <c r="DS373" s="46"/>
      <c r="DT373" s="46"/>
      <c r="DU373" s="46"/>
      <c r="DV373" s="46"/>
      <c r="DW373" s="46"/>
      <c r="DX373" s="46"/>
      <c r="DY373" s="46"/>
      <c r="DZ373" s="46"/>
      <c r="EA373" s="46"/>
      <c r="EB373" s="46"/>
      <c r="EC373" s="46"/>
      <c r="ED373" s="46"/>
      <c r="EE373" s="46"/>
      <c r="EF373" s="46"/>
      <c r="EG373" s="46"/>
      <c r="EH373" s="46"/>
      <c r="EI373" s="46"/>
      <c r="EJ373" s="46"/>
      <c r="EK373" s="46"/>
      <c r="EL373" s="46"/>
      <c r="EM373" s="46"/>
      <c r="EN373" s="46"/>
      <c r="EO373" s="46"/>
      <c r="EP373" s="46"/>
      <c r="EQ373" s="46"/>
      <c r="ER373" s="46"/>
      <c r="ES373" s="46"/>
      <c r="ET373" s="46"/>
      <c r="EU373" s="46"/>
      <c r="EV373" s="46"/>
      <c r="EW373" s="46"/>
      <c r="EX373" s="46"/>
      <c r="EY373" s="46"/>
      <c r="EZ373" s="46"/>
      <c r="FA373" s="46"/>
      <c r="FB373" s="46"/>
      <c r="FC373" s="46"/>
      <c r="FD373" s="46"/>
      <c r="FE373" s="46"/>
      <c r="FF373" s="46"/>
      <c r="FG373" s="46"/>
      <c r="FH373" s="46"/>
      <c r="FI373" s="46"/>
      <c r="FJ373" s="46"/>
      <c r="FK373" s="46"/>
      <c r="FL373" s="46"/>
      <c r="FM373" s="46"/>
      <c r="FN373" s="46"/>
      <c r="FO373" s="46"/>
      <c r="FP373" s="46"/>
      <c r="FQ373" s="46"/>
      <c r="FR373" s="46"/>
      <c r="FS373" s="46"/>
      <c r="FT373" s="46"/>
      <c r="FU373" s="46"/>
      <c r="FV373" s="46"/>
      <c r="FW373" s="46"/>
      <c r="FX373" s="46"/>
      <c r="FY373" s="46"/>
      <c r="FZ373" s="46"/>
      <c r="GA373" s="46"/>
      <c r="GB373" s="46"/>
      <c r="GC373" s="46"/>
      <c r="GD373" s="46"/>
      <c r="GE373" s="46"/>
      <c r="GF373" s="46"/>
      <c r="GG373" s="46"/>
      <c r="GH373" s="46"/>
      <c r="GI373" s="46"/>
      <c r="GJ373" s="46"/>
      <c r="GK373" s="46"/>
      <c r="GL373" s="46"/>
      <c r="GM373" s="46"/>
      <c r="GN373" s="46"/>
      <c r="GO373" s="46"/>
      <c r="GP373" s="46"/>
    </row>
    <row r="374" spans="1:198" ht="15" x14ac:dyDescent="0.2">
      <c r="A374" s="61" t="s">
        <v>161</v>
      </c>
      <c r="B374" s="114" t="s">
        <v>74</v>
      </c>
      <c r="C374" s="160">
        <v>109375</v>
      </c>
      <c r="D374" s="62">
        <v>10816093.75</v>
      </c>
      <c r="E374" s="16"/>
      <c r="F374" s="31"/>
      <c r="G374" s="46"/>
      <c r="H374" s="47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  <c r="BP374" s="46"/>
      <c r="BQ374" s="46"/>
      <c r="BR374" s="46"/>
      <c r="BS374" s="46"/>
      <c r="BT374" s="46"/>
      <c r="BU374" s="46"/>
      <c r="BV374" s="46"/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  <c r="CI374" s="46"/>
      <c r="CJ374" s="46"/>
      <c r="CK374" s="46"/>
      <c r="CL374" s="46"/>
      <c r="CM374" s="46"/>
      <c r="CN374" s="46"/>
      <c r="CO374" s="46"/>
      <c r="CP374" s="46"/>
      <c r="CQ374" s="46"/>
      <c r="CR374" s="46"/>
      <c r="CS374" s="46"/>
      <c r="CT374" s="46"/>
      <c r="CU374" s="46"/>
      <c r="CV374" s="46"/>
      <c r="CW374" s="46"/>
      <c r="CX374" s="46"/>
      <c r="CY374" s="46"/>
      <c r="CZ374" s="46"/>
      <c r="DA374" s="46"/>
      <c r="DB374" s="46"/>
      <c r="DC374" s="46"/>
      <c r="DD374" s="46"/>
      <c r="DE374" s="46"/>
      <c r="DF374" s="46"/>
      <c r="DG374" s="46"/>
      <c r="DH374" s="46"/>
      <c r="DI374" s="46"/>
      <c r="DJ374" s="46"/>
      <c r="DK374" s="46"/>
      <c r="DL374" s="46"/>
      <c r="DM374" s="46"/>
      <c r="DN374" s="46"/>
      <c r="DO374" s="46"/>
      <c r="DP374" s="46"/>
      <c r="DQ374" s="46"/>
      <c r="DR374" s="46"/>
      <c r="DS374" s="46"/>
      <c r="DT374" s="46"/>
      <c r="DU374" s="46"/>
      <c r="DV374" s="46"/>
      <c r="DW374" s="46"/>
      <c r="DX374" s="46"/>
      <c r="DY374" s="46"/>
      <c r="DZ374" s="46"/>
      <c r="EA374" s="46"/>
      <c r="EB374" s="46"/>
      <c r="EC374" s="46"/>
      <c r="ED374" s="46"/>
      <c r="EE374" s="46"/>
      <c r="EF374" s="46"/>
      <c r="EG374" s="46"/>
      <c r="EH374" s="46"/>
      <c r="EI374" s="46"/>
      <c r="EJ374" s="46"/>
      <c r="EK374" s="46"/>
      <c r="EL374" s="46"/>
      <c r="EM374" s="46"/>
      <c r="EN374" s="46"/>
      <c r="EO374" s="46"/>
      <c r="EP374" s="46"/>
      <c r="EQ374" s="46"/>
      <c r="ER374" s="46"/>
      <c r="ES374" s="46"/>
      <c r="ET374" s="46"/>
      <c r="EU374" s="46"/>
      <c r="EV374" s="46"/>
      <c r="EW374" s="46"/>
      <c r="EX374" s="46"/>
      <c r="EY374" s="46"/>
      <c r="EZ374" s="46"/>
      <c r="FA374" s="46"/>
      <c r="FB374" s="46"/>
      <c r="FC374" s="46"/>
      <c r="FD374" s="46"/>
      <c r="FE374" s="46"/>
      <c r="FF374" s="46"/>
      <c r="FG374" s="46"/>
      <c r="FH374" s="46"/>
      <c r="FI374" s="46"/>
      <c r="FJ374" s="46"/>
      <c r="FK374" s="46"/>
      <c r="FL374" s="46"/>
      <c r="FM374" s="46"/>
      <c r="FN374" s="46"/>
      <c r="FO374" s="46"/>
      <c r="FP374" s="46"/>
      <c r="FQ374" s="46"/>
      <c r="FR374" s="46"/>
      <c r="FS374" s="46"/>
      <c r="FT374" s="46"/>
      <c r="FU374" s="46"/>
      <c r="FV374" s="46"/>
      <c r="FW374" s="46"/>
      <c r="FX374" s="46"/>
      <c r="FY374" s="46"/>
      <c r="FZ374" s="46"/>
      <c r="GA374" s="46"/>
      <c r="GB374" s="46"/>
      <c r="GC374" s="46"/>
      <c r="GD374" s="46"/>
      <c r="GE374" s="46"/>
      <c r="GF374" s="46"/>
      <c r="GG374" s="46"/>
      <c r="GH374" s="46"/>
      <c r="GI374" s="46"/>
      <c r="GJ374" s="46"/>
      <c r="GK374" s="46"/>
      <c r="GL374" s="46"/>
      <c r="GM374" s="46"/>
      <c r="GN374" s="46"/>
      <c r="GO374" s="46"/>
      <c r="GP374" s="46"/>
    </row>
    <row r="375" spans="1:198" ht="15" x14ac:dyDescent="0.2">
      <c r="A375" s="61" t="s">
        <v>6</v>
      </c>
      <c r="B375" s="114" t="s">
        <v>74</v>
      </c>
      <c r="C375" s="160">
        <v>12999582.689999999</v>
      </c>
      <c r="D375" s="62">
        <v>1285528732.2140999</v>
      </c>
      <c r="E375" s="16"/>
      <c r="F375" s="31"/>
      <c r="G375" s="46"/>
      <c r="H375" s="47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  <c r="CZ375" s="46"/>
      <c r="DA375" s="46"/>
      <c r="DB375" s="46"/>
      <c r="DC375" s="46"/>
      <c r="DD375" s="46"/>
      <c r="DE375" s="46"/>
      <c r="DF375" s="46"/>
      <c r="DG375" s="46"/>
      <c r="DH375" s="46"/>
      <c r="DI375" s="46"/>
      <c r="DJ375" s="46"/>
      <c r="DK375" s="46"/>
      <c r="DL375" s="46"/>
      <c r="DM375" s="46"/>
      <c r="DN375" s="46"/>
      <c r="DO375" s="46"/>
      <c r="DP375" s="46"/>
      <c r="DQ375" s="46"/>
      <c r="DR375" s="46"/>
      <c r="DS375" s="46"/>
      <c r="DT375" s="46"/>
      <c r="DU375" s="46"/>
      <c r="DV375" s="46"/>
      <c r="DW375" s="46"/>
      <c r="DX375" s="46"/>
      <c r="DY375" s="46"/>
      <c r="DZ375" s="46"/>
      <c r="EA375" s="46"/>
      <c r="EB375" s="46"/>
      <c r="EC375" s="46"/>
      <c r="ED375" s="46"/>
      <c r="EE375" s="46"/>
      <c r="EF375" s="46"/>
      <c r="EG375" s="46"/>
      <c r="EH375" s="46"/>
      <c r="EI375" s="46"/>
      <c r="EJ375" s="46"/>
      <c r="EK375" s="46"/>
      <c r="EL375" s="46"/>
      <c r="EM375" s="46"/>
      <c r="EN375" s="46"/>
      <c r="EO375" s="46"/>
      <c r="EP375" s="46"/>
      <c r="EQ375" s="46"/>
      <c r="ER375" s="46"/>
      <c r="ES375" s="46"/>
      <c r="ET375" s="46"/>
      <c r="EU375" s="46"/>
      <c r="EV375" s="46"/>
      <c r="EW375" s="46"/>
      <c r="EX375" s="46"/>
      <c r="EY375" s="46"/>
      <c r="EZ375" s="46"/>
      <c r="FA375" s="46"/>
      <c r="FB375" s="46"/>
      <c r="FC375" s="46"/>
      <c r="FD375" s="46"/>
      <c r="FE375" s="46"/>
      <c r="FF375" s="46"/>
      <c r="FG375" s="46"/>
      <c r="FH375" s="46"/>
      <c r="FI375" s="46"/>
      <c r="FJ375" s="46"/>
      <c r="FK375" s="46"/>
      <c r="FL375" s="46"/>
      <c r="FM375" s="46"/>
      <c r="FN375" s="46"/>
      <c r="FO375" s="46"/>
      <c r="FP375" s="46"/>
      <c r="FQ375" s="46"/>
      <c r="FR375" s="46"/>
      <c r="FS375" s="46"/>
      <c r="FT375" s="46"/>
      <c r="FU375" s="46"/>
      <c r="FV375" s="46"/>
      <c r="FW375" s="46"/>
      <c r="FX375" s="46"/>
      <c r="FY375" s="46"/>
      <c r="FZ375" s="46"/>
      <c r="GA375" s="46"/>
      <c r="GB375" s="46"/>
      <c r="GC375" s="46"/>
      <c r="GD375" s="46"/>
      <c r="GE375" s="46"/>
      <c r="GF375" s="46"/>
      <c r="GG375" s="46"/>
      <c r="GH375" s="46"/>
      <c r="GI375" s="46"/>
      <c r="GJ375" s="46"/>
      <c r="GK375" s="46"/>
      <c r="GL375" s="46"/>
      <c r="GM375" s="46"/>
      <c r="GN375" s="46"/>
      <c r="GO375" s="46"/>
      <c r="GP375" s="46"/>
    </row>
    <row r="376" spans="1:198" ht="15" x14ac:dyDescent="0.2">
      <c r="A376" s="61" t="s">
        <v>6</v>
      </c>
      <c r="B376" s="114" t="s">
        <v>74</v>
      </c>
      <c r="C376" s="160">
        <v>3288655.46</v>
      </c>
      <c r="D376" s="62">
        <v>325215138.43940002</v>
      </c>
      <c r="E376" s="16"/>
      <c r="F376" s="31"/>
      <c r="G376" s="46"/>
      <c r="H376" s="47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A376" s="46"/>
      <c r="DB376" s="46"/>
      <c r="DC376" s="46"/>
      <c r="DD376" s="46"/>
      <c r="DE376" s="46"/>
      <c r="DF376" s="46"/>
      <c r="DG376" s="46"/>
      <c r="DH376" s="46"/>
      <c r="DI376" s="46"/>
      <c r="DJ376" s="46"/>
      <c r="DK376" s="46"/>
      <c r="DL376" s="46"/>
      <c r="DM376" s="46"/>
      <c r="DN376" s="46"/>
      <c r="DO376" s="46"/>
      <c r="DP376" s="46"/>
      <c r="DQ376" s="46"/>
      <c r="DR376" s="46"/>
      <c r="DS376" s="46"/>
      <c r="DT376" s="46"/>
      <c r="DU376" s="46"/>
      <c r="DV376" s="46"/>
      <c r="DW376" s="46"/>
      <c r="DX376" s="46"/>
      <c r="DY376" s="46"/>
      <c r="DZ376" s="46"/>
      <c r="EA376" s="46"/>
      <c r="EB376" s="46"/>
      <c r="EC376" s="46"/>
      <c r="ED376" s="46"/>
      <c r="EE376" s="46"/>
      <c r="EF376" s="46"/>
      <c r="EG376" s="46"/>
      <c r="EH376" s="46"/>
      <c r="EI376" s="46"/>
      <c r="EJ376" s="46"/>
      <c r="EK376" s="46"/>
      <c r="EL376" s="46"/>
      <c r="EM376" s="46"/>
      <c r="EN376" s="46"/>
      <c r="EO376" s="46"/>
      <c r="EP376" s="46"/>
      <c r="EQ376" s="46"/>
      <c r="ER376" s="46"/>
      <c r="ES376" s="46"/>
      <c r="ET376" s="46"/>
      <c r="EU376" s="46"/>
      <c r="EV376" s="46"/>
      <c r="EW376" s="46"/>
      <c r="EX376" s="46"/>
      <c r="EY376" s="46"/>
      <c r="EZ376" s="46"/>
      <c r="FA376" s="46"/>
      <c r="FB376" s="46"/>
      <c r="FC376" s="46"/>
      <c r="FD376" s="46"/>
      <c r="FE376" s="46"/>
      <c r="FF376" s="46"/>
      <c r="FG376" s="46"/>
      <c r="FH376" s="46"/>
      <c r="FI376" s="46"/>
      <c r="FJ376" s="46"/>
      <c r="FK376" s="46"/>
      <c r="FL376" s="46"/>
      <c r="FM376" s="46"/>
      <c r="FN376" s="46"/>
      <c r="FO376" s="46"/>
      <c r="FP376" s="46"/>
      <c r="FQ376" s="46"/>
      <c r="FR376" s="46"/>
      <c r="FS376" s="46"/>
      <c r="FT376" s="46"/>
      <c r="FU376" s="46"/>
      <c r="FV376" s="46"/>
      <c r="FW376" s="46"/>
      <c r="FX376" s="46"/>
      <c r="FY376" s="46"/>
      <c r="FZ376" s="46"/>
      <c r="GA376" s="46"/>
      <c r="GB376" s="46"/>
      <c r="GC376" s="46"/>
      <c r="GD376" s="46"/>
      <c r="GE376" s="46"/>
      <c r="GF376" s="46"/>
      <c r="GG376" s="46"/>
      <c r="GH376" s="46"/>
      <c r="GI376" s="46"/>
      <c r="GJ376" s="46"/>
      <c r="GK376" s="46"/>
      <c r="GL376" s="46"/>
      <c r="GM376" s="46"/>
      <c r="GN376" s="46"/>
      <c r="GO376" s="46"/>
      <c r="GP376" s="46"/>
    </row>
    <row r="377" spans="1:198" ht="15" x14ac:dyDescent="0.2">
      <c r="A377" s="61" t="s">
        <v>310</v>
      </c>
      <c r="B377" s="122" t="s">
        <v>74</v>
      </c>
      <c r="C377" s="160">
        <v>4779884.75</v>
      </c>
      <c r="D377" s="62">
        <v>472682802.92750001</v>
      </c>
      <c r="E377" s="16"/>
      <c r="F377" s="31"/>
      <c r="G377" s="46"/>
      <c r="H377" s="47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  <c r="CM377" s="46"/>
      <c r="CN377" s="46"/>
      <c r="CO377" s="46"/>
      <c r="CP377" s="46"/>
      <c r="CQ377" s="46"/>
      <c r="CR377" s="46"/>
      <c r="CS377" s="46"/>
      <c r="CT377" s="46"/>
      <c r="CU377" s="46"/>
      <c r="CV377" s="46"/>
      <c r="CW377" s="46"/>
      <c r="CX377" s="46"/>
      <c r="CY377" s="46"/>
      <c r="CZ377" s="46"/>
      <c r="DA377" s="46"/>
      <c r="DB377" s="46"/>
      <c r="DC377" s="46"/>
      <c r="DD377" s="46"/>
      <c r="DE377" s="46"/>
      <c r="DF377" s="46"/>
      <c r="DG377" s="46"/>
      <c r="DH377" s="46"/>
      <c r="DI377" s="46"/>
      <c r="DJ377" s="46"/>
      <c r="DK377" s="46"/>
      <c r="DL377" s="46"/>
      <c r="DM377" s="46"/>
      <c r="DN377" s="46"/>
      <c r="DO377" s="46"/>
      <c r="DP377" s="46"/>
      <c r="DQ377" s="46"/>
      <c r="DR377" s="46"/>
      <c r="DS377" s="46"/>
      <c r="DT377" s="46"/>
      <c r="DU377" s="46"/>
      <c r="DV377" s="46"/>
      <c r="DW377" s="46"/>
      <c r="DX377" s="46"/>
      <c r="DY377" s="46"/>
      <c r="DZ377" s="46"/>
      <c r="EA377" s="46"/>
      <c r="EB377" s="46"/>
      <c r="EC377" s="46"/>
      <c r="ED377" s="46"/>
      <c r="EE377" s="46"/>
      <c r="EF377" s="46"/>
      <c r="EG377" s="46"/>
      <c r="EH377" s="46"/>
      <c r="EI377" s="46"/>
      <c r="EJ377" s="46"/>
      <c r="EK377" s="46"/>
      <c r="EL377" s="46"/>
      <c r="EM377" s="46"/>
      <c r="EN377" s="46"/>
      <c r="EO377" s="46"/>
      <c r="EP377" s="46"/>
      <c r="EQ377" s="46"/>
      <c r="ER377" s="46"/>
      <c r="ES377" s="46"/>
      <c r="ET377" s="46"/>
      <c r="EU377" s="46"/>
      <c r="EV377" s="46"/>
      <c r="EW377" s="46"/>
      <c r="EX377" s="46"/>
      <c r="EY377" s="46"/>
      <c r="EZ377" s="46"/>
      <c r="FA377" s="46"/>
      <c r="FB377" s="46"/>
      <c r="FC377" s="46"/>
      <c r="FD377" s="46"/>
      <c r="FE377" s="46"/>
      <c r="FF377" s="46"/>
      <c r="FG377" s="46"/>
      <c r="FH377" s="46"/>
      <c r="FI377" s="46"/>
      <c r="FJ377" s="46"/>
      <c r="FK377" s="46"/>
      <c r="FL377" s="46"/>
      <c r="FM377" s="46"/>
      <c r="FN377" s="46"/>
      <c r="FO377" s="46"/>
      <c r="FP377" s="46"/>
      <c r="FQ377" s="46"/>
      <c r="FR377" s="46"/>
      <c r="FS377" s="46"/>
      <c r="FT377" s="46"/>
      <c r="FU377" s="46"/>
      <c r="FV377" s="46"/>
      <c r="FW377" s="46"/>
      <c r="FX377" s="46"/>
      <c r="FY377" s="46"/>
      <c r="FZ377" s="46"/>
      <c r="GA377" s="46"/>
      <c r="GB377" s="46"/>
      <c r="GC377" s="46"/>
      <c r="GD377" s="46"/>
      <c r="GE377" s="46"/>
      <c r="GF377" s="46"/>
      <c r="GG377" s="46"/>
      <c r="GH377" s="46"/>
      <c r="GI377" s="46"/>
      <c r="GJ377" s="46"/>
      <c r="GK377" s="46"/>
      <c r="GL377" s="46"/>
      <c r="GM377" s="46"/>
      <c r="GN377" s="46"/>
      <c r="GO377" s="46"/>
      <c r="GP377" s="46"/>
    </row>
    <row r="378" spans="1:198" s="60" customFormat="1" ht="15" x14ac:dyDescent="0.2">
      <c r="A378" s="61" t="s">
        <v>270</v>
      </c>
      <c r="B378" s="122" t="s">
        <v>74</v>
      </c>
      <c r="C378" s="160">
        <v>13803444.43</v>
      </c>
      <c r="D378" s="62">
        <v>1365022619.6826999</v>
      </c>
      <c r="E378" s="58"/>
      <c r="F378" s="59"/>
      <c r="G378" s="171"/>
      <c r="H378" s="172"/>
      <c r="I378" s="171"/>
      <c r="J378" s="171"/>
      <c r="K378" s="171"/>
      <c r="L378" s="171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</row>
    <row r="379" spans="1:198" ht="15" x14ac:dyDescent="0.2">
      <c r="A379" s="61" t="s">
        <v>275</v>
      </c>
      <c r="B379" s="114" t="s">
        <v>74</v>
      </c>
      <c r="C379" s="160">
        <v>4779884.75</v>
      </c>
      <c r="D379" s="62">
        <v>472682802.92750001</v>
      </c>
      <c r="E379" s="16"/>
      <c r="F379" s="31"/>
      <c r="G379" s="46"/>
      <c r="H379" s="47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A379" s="46"/>
      <c r="DB379" s="46"/>
      <c r="DC379" s="46"/>
      <c r="DD379" s="46"/>
      <c r="DE379" s="46"/>
      <c r="DF379" s="46"/>
      <c r="DG379" s="46"/>
      <c r="DH379" s="46"/>
      <c r="DI379" s="46"/>
      <c r="DJ379" s="46"/>
      <c r="DK379" s="46"/>
      <c r="DL379" s="46"/>
      <c r="DM379" s="46"/>
      <c r="DN379" s="46"/>
      <c r="DO379" s="46"/>
      <c r="DP379" s="46"/>
      <c r="DQ379" s="46"/>
      <c r="DR379" s="46"/>
      <c r="DS379" s="46"/>
      <c r="DT379" s="46"/>
      <c r="DU379" s="46"/>
      <c r="DV379" s="46"/>
      <c r="DW379" s="46"/>
      <c r="DX379" s="46"/>
      <c r="DY379" s="46"/>
      <c r="DZ379" s="46"/>
      <c r="EA379" s="46"/>
      <c r="EB379" s="46"/>
      <c r="EC379" s="46"/>
      <c r="ED379" s="46"/>
      <c r="EE379" s="46"/>
      <c r="EF379" s="46"/>
      <c r="EG379" s="46"/>
      <c r="EH379" s="46"/>
      <c r="EI379" s="46"/>
      <c r="EJ379" s="46"/>
      <c r="EK379" s="46"/>
      <c r="EL379" s="46"/>
      <c r="EM379" s="46"/>
      <c r="EN379" s="46"/>
      <c r="EO379" s="46"/>
      <c r="EP379" s="46"/>
      <c r="EQ379" s="46"/>
      <c r="ER379" s="46"/>
      <c r="ES379" s="46"/>
      <c r="ET379" s="46"/>
      <c r="EU379" s="46"/>
      <c r="EV379" s="46"/>
      <c r="EW379" s="46"/>
      <c r="EX379" s="46"/>
      <c r="EY379" s="46"/>
      <c r="EZ379" s="46"/>
      <c r="FA379" s="46"/>
      <c r="FB379" s="46"/>
      <c r="FC379" s="46"/>
      <c r="FD379" s="46"/>
      <c r="FE379" s="46"/>
      <c r="FF379" s="46"/>
      <c r="FG379" s="46"/>
      <c r="FH379" s="46"/>
      <c r="FI379" s="46"/>
      <c r="FJ379" s="46"/>
      <c r="FK379" s="46"/>
      <c r="FL379" s="46"/>
      <c r="FM379" s="46"/>
      <c r="FN379" s="46"/>
      <c r="FO379" s="46"/>
      <c r="FP379" s="46"/>
      <c r="FQ379" s="46"/>
      <c r="FR379" s="46"/>
      <c r="FS379" s="46"/>
      <c r="FT379" s="46"/>
      <c r="FU379" s="46"/>
      <c r="FV379" s="46"/>
      <c r="FW379" s="46"/>
      <c r="FX379" s="46"/>
      <c r="FY379" s="46"/>
      <c r="FZ379" s="46"/>
      <c r="GA379" s="46"/>
      <c r="GB379" s="46"/>
      <c r="GC379" s="46"/>
      <c r="GD379" s="46"/>
      <c r="GE379" s="46"/>
      <c r="GF379" s="46"/>
      <c r="GG379" s="46"/>
      <c r="GH379" s="46"/>
      <c r="GI379" s="46"/>
      <c r="GJ379" s="46"/>
      <c r="GK379" s="46"/>
      <c r="GL379" s="46"/>
      <c r="GM379" s="46"/>
      <c r="GN379" s="46"/>
      <c r="GO379" s="46"/>
      <c r="GP379" s="46"/>
    </row>
    <row r="380" spans="1:198" ht="15" x14ac:dyDescent="0.2">
      <c r="A380" s="61" t="s">
        <v>307</v>
      </c>
      <c r="B380" s="114" t="s">
        <v>74</v>
      </c>
      <c r="C380" s="160">
        <v>285210.98</v>
      </c>
      <c r="D380" s="62">
        <v>28204513.812199999</v>
      </c>
      <c r="E380" s="16"/>
      <c r="F380" s="31"/>
      <c r="G380" s="46"/>
      <c r="H380" s="47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  <c r="CZ380" s="46"/>
      <c r="DA380" s="46"/>
      <c r="DB380" s="46"/>
      <c r="DC380" s="46"/>
      <c r="DD380" s="46"/>
      <c r="DE380" s="46"/>
      <c r="DF380" s="46"/>
      <c r="DG380" s="46"/>
      <c r="DH380" s="46"/>
      <c r="DI380" s="46"/>
      <c r="DJ380" s="46"/>
      <c r="DK380" s="46"/>
      <c r="DL380" s="46"/>
      <c r="DM380" s="46"/>
      <c r="DN380" s="46"/>
      <c r="DO380" s="46"/>
      <c r="DP380" s="46"/>
      <c r="DQ380" s="46"/>
      <c r="DR380" s="46"/>
      <c r="DS380" s="46"/>
      <c r="DT380" s="46"/>
      <c r="DU380" s="46"/>
      <c r="DV380" s="46"/>
      <c r="DW380" s="46"/>
      <c r="DX380" s="46"/>
      <c r="DY380" s="46"/>
      <c r="DZ380" s="46"/>
      <c r="EA380" s="46"/>
      <c r="EB380" s="46"/>
      <c r="EC380" s="46"/>
      <c r="ED380" s="46"/>
      <c r="EE380" s="46"/>
      <c r="EF380" s="46"/>
      <c r="EG380" s="46"/>
      <c r="EH380" s="46"/>
      <c r="EI380" s="46"/>
      <c r="EJ380" s="46"/>
      <c r="EK380" s="46"/>
      <c r="EL380" s="46"/>
      <c r="EM380" s="46"/>
      <c r="EN380" s="46"/>
      <c r="EO380" s="46"/>
      <c r="EP380" s="46"/>
      <c r="EQ380" s="46"/>
      <c r="ER380" s="46"/>
      <c r="ES380" s="46"/>
      <c r="ET380" s="46"/>
      <c r="EU380" s="46"/>
      <c r="EV380" s="46"/>
      <c r="EW380" s="46"/>
      <c r="EX380" s="46"/>
      <c r="EY380" s="46"/>
      <c r="EZ380" s="46"/>
      <c r="FA380" s="46"/>
      <c r="FB380" s="46"/>
      <c r="FC380" s="46"/>
      <c r="FD380" s="46"/>
      <c r="FE380" s="46"/>
      <c r="FF380" s="46"/>
      <c r="FG380" s="46"/>
      <c r="FH380" s="46"/>
      <c r="FI380" s="46"/>
      <c r="FJ380" s="46"/>
      <c r="FK380" s="46"/>
      <c r="FL380" s="46"/>
      <c r="FM380" s="46"/>
      <c r="FN380" s="46"/>
      <c r="FO380" s="46"/>
      <c r="FP380" s="46"/>
      <c r="FQ380" s="46"/>
      <c r="FR380" s="46"/>
      <c r="FS380" s="46"/>
      <c r="FT380" s="46"/>
      <c r="FU380" s="46"/>
      <c r="FV380" s="46"/>
      <c r="FW380" s="46"/>
      <c r="FX380" s="46"/>
      <c r="FY380" s="46"/>
      <c r="FZ380" s="46"/>
      <c r="GA380" s="46"/>
      <c r="GB380" s="46"/>
      <c r="GC380" s="46"/>
      <c r="GD380" s="46"/>
      <c r="GE380" s="46"/>
      <c r="GF380" s="46"/>
      <c r="GG380" s="46"/>
      <c r="GH380" s="46"/>
      <c r="GI380" s="46"/>
      <c r="GJ380" s="46"/>
      <c r="GK380" s="46"/>
      <c r="GL380" s="46"/>
      <c r="GM380" s="46"/>
      <c r="GN380" s="46"/>
      <c r="GO380" s="46"/>
      <c r="GP380" s="46"/>
    </row>
    <row r="381" spans="1:198" ht="15" x14ac:dyDescent="0.2">
      <c r="A381" s="61" t="s">
        <v>314</v>
      </c>
      <c r="B381" s="114" t="s">
        <v>74</v>
      </c>
      <c r="C381" s="160">
        <v>2284320.12</v>
      </c>
      <c r="D381" s="62">
        <v>225896416.66680002</v>
      </c>
      <c r="E381" s="16"/>
      <c r="F381" s="31"/>
      <c r="G381" s="46"/>
      <c r="H381" s="47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  <c r="CZ381" s="46"/>
      <c r="DA381" s="46"/>
      <c r="DB381" s="46"/>
      <c r="DC381" s="46"/>
      <c r="DD381" s="46"/>
      <c r="DE381" s="46"/>
      <c r="DF381" s="46"/>
      <c r="DG381" s="46"/>
      <c r="DH381" s="46"/>
      <c r="DI381" s="46"/>
      <c r="DJ381" s="46"/>
      <c r="DK381" s="46"/>
      <c r="DL381" s="46"/>
      <c r="DM381" s="46"/>
      <c r="DN381" s="46"/>
      <c r="DO381" s="46"/>
      <c r="DP381" s="46"/>
      <c r="DQ381" s="46"/>
      <c r="DR381" s="46"/>
      <c r="DS381" s="46"/>
      <c r="DT381" s="46"/>
      <c r="DU381" s="46"/>
      <c r="DV381" s="46"/>
      <c r="DW381" s="46"/>
      <c r="DX381" s="46"/>
      <c r="DY381" s="46"/>
      <c r="DZ381" s="46"/>
      <c r="EA381" s="46"/>
      <c r="EB381" s="46"/>
      <c r="EC381" s="46"/>
      <c r="ED381" s="46"/>
      <c r="EE381" s="46"/>
      <c r="EF381" s="46"/>
      <c r="EG381" s="46"/>
      <c r="EH381" s="46"/>
      <c r="EI381" s="46"/>
      <c r="EJ381" s="46"/>
      <c r="EK381" s="46"/>
      <c r="EL381" s="46"/>
      <c r="EM381" s="46"/>
      <c r="EN381" s="46"/>
      <c r="EO381" s="46"/>
      <c r="EP381" s="46"/>
      <c r="EQ381" s="46"/>
      <c r="ER381" s="46"/>
      <c r="ES381" s="46"/>
      <c r="ET381" s="46"/>
      <c r="EU381" s="46"/>
      <c r="EV381" s="46"/>
      <c r="EW381" s="46"/>
      <c r="EX381" s="46"/>
      <c r="EY381" s="46"/>
      <c r="EZ381" s="46"/>
      <c r="FA381" s="46"/>
      <c r="FB381" s="46"/>
      <c r="FC381" s="46"/>
      <c r="FD381" s="46"/>
      <c r="FE381" s="46"/>
      <c r="FF381" s="46"/>
      <c r="FG381" s="46"/>
      <c r="FH381" s="46"/>
      <c r="FI381" s="46"/>
      <c r="FJ381" s="46"/>
      <c r="FK381" s="46"/>
      <c r="FL381" s="46"/>
      <c r="FM381" s="46"/>
      <c r="FN381" s="46"/>
      <c r="FO381" s="46"/>
      <c r="FP381" s="46"/>
      <c r="FQ381" s="46"/>
      <c r="FR381" s="46"/>
      <c r="FS381" s="46"/>
      <c r="FT381" s="46"/>
      <c r="FU381" s="46"/>
      <c r="FV381" s="46"/>
      <c r="FW381" s="46"/>
      <c r="FX381" s="46"/>
      <c r="FY381" s="46"/>
      <c r="FZ381" s="46"/>
      <c r="GA381" s="46"/>
      <c r="GB381" s="46"/>
      <c r="GC381" s="46"/>
      <c r="GD381" s="46"/>
      <c r="GE381" s="46"/>
      <c r="GF381" s="46"/>
      <c r="GG381" s="46"/>
      <c r="GH381" s="46"/>
      <c r="GI381" s="46"/>
      <c r="GJ381" s="46"/>
      <c r="GK381" s="46"/>
      <c r="GL381" s="46"/>
      <c r="GM381" s="46"/>
      <c r="GN381" s="46"/>
      <c r="GO381" s="46"/>
      <c r="GP381" s="46"/>
    </row>
    <row r="382" spans="1:198" ht="15" x14ac:dyDescent="0.2">
      <c r="A382" s="61" t="s">
        <v>276</v>
      </c>
      <c r="B382" s="114" t="s">
        <v>74</v>
      </c>
      <c r="C382" s="160">
        <v>100000000</v>
      </c>
      <c r="D382" s="62">
        <v>9889000000</v>
      </c>
      <c r="E382" s="16"/>
      <c r="F382" s="31"/>
      <c r="G382" s="47"/>
      <c r="H382" s="47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  <c r="CZ382" s="46"/>
      <c r="DA382" s="46"/>
      <c r="DB382" s="46"/>
      <c r="DC382" s="46"/>
      <c r="DD382" s="46"/>
      <c r="DE382" s="46"/>
      <c r="DF382" s="46"/>
      <c r="DG382" s="46"/>
      <c r="DH382" s="46"/>
      <c r="DI382" s="46"/>
      <c r="DJ382" s="46"/>
      <c r="DK382" s="46"/>
      <c r="DL382" s="46"/>
      <c r="DM382" s="46"/>
      <c r="DN382" s="46"/>
      <c r="DO382" s="46"/>
      <c r="DP382" s="46"/>
      <c r="DQ382" s="46"/>
      <c r="DR382" s="46"/>
      <c r="DS382" s="46"/>
      <c r="DT382" s="46"/>
      <c r="DU382" s="46"/>
      <c r="DV382" s="46"/>
      <c r="DW382" s="46"/>
      <c r="DX382" s="46"/>
      <c r="DY382" s="46"/>
      <c r="DZ382" s="46"/>
      <c r="EA382" s="46"/>
      <c r="EB382" s="46"/>
      <c r="EC382" s="46"/>
      <c r="ED382" s="46"/>
      <c r="EE382" s="46"/>
      <c r="EF382" s="46"/>
      <c r="EG382" s="46"/>
      <c r="EH382" s="46"/>
      <c r="EI382" s="46"/>
      <c r="EJ382" s="46"/>
      <c r="EK382" s="46"/>
      <c r="EL382" s="46"/>
      <c r="EM382" s="46"/>
      <c r="EN382" s="46"/>
      <c r="EO382" s="46"/>
      <c r="EP382" s="46"/>
      <c r="EQ382" s="46"/>
      <c r="ER382" s="46"/>
      <c r="ES382" s="46"/>
      <c r="ET382" s="46"/>
      <c r="EU382" s="46"/>
      <c r="EV382" s="46"/>
      <c r="EW382" s="46"/>
      <c r="EX382" s="46"/>
      <c r="EY382" s="46"/>
      <c r="EZ382" s="46"/>
      <c r="FA382" s="46"/>
      <c r="FB382" s="46"/>
      <c r="FC382" s="46"/>
      <c r="FD382" s="46"/>
      <c r="FE382" s="46"/>
      <c r="FF382" s="46"/>
      <c r="FG382" s="46"/>
      <c r="FH382" s="46"/>
      <c r="FI382" s="46"/>
      <c r="FJ382" s="46"/>
      <c r="FK382" s="46"/>
      <c r="FL382" s="46"/>
      <c r="FM382" s="46"/>
      <c r="FN382" s="46"/>
      <c r="FO382" s="46"/>
      <c r="FP382" s="46"/>
      <c r="FQ382" s="46"/>
      <c r="FR382" s="46"/>
      <c r="FS382" s="46"/>
      <c r="FT382" s="46"/>
      <c r="FU382" s="46"/>
      <c r="FV382" s="46"/>
      <c r="FW382" s="46"/>
      <c r="FX382" s="46"/>
      <c r="FY382" s="46"/>
      <c r="FZ382" s="46"/>
      <c r="GA382" s="46"/>
      <c r="GB382" s="46"/>
      <c r="GC382" s="46"/>
      <c r="GD382" s="46"/>
      <c r="GE382" s="46"/>
      <c r="GF382" s="46"/>
      <c r="GG382" s="46"/>
      <c r="GH382" s="46"/>
      <c r="GI382" s="46"/>
      <c r="GJ382" s="46"/>
      <c r="GK382" s="46"/>
      <c r="GL382" s="46"/>
      <c r="GM382" s="46"/>
      <c r="GN382" s="46"/>
      <c r="GO382" s="46"/>
      <c r="GP382" s="46"/>
    </row>
    <row r="383" spans="1:198" ht="15" x14ac:dyDescent="0.2">
      <c r="A383" s="61" t="s">
        <v>160</v>
      </c>
      <c r="B383" s="121" t="s">
        <v>74</v>
      </c>
      <c r="C383" s="160">
        <v>5022500</v>
      </c>
      <c r="D383" s="62">
        <v>496675025</v>
      </c>
      <c r="E383" s="16">
        <v>25112500</v>
      </c>
      <c r="F383" s="31"/>
      <c r="G383" s="46"/>
      <c r="H383" s="47" t="s">
        <v>73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  <c r="CM383" s="46"/>
      <c r="CN383" s="46"/>
      <c r="CO383" s="46"/>
      <c r="CP383" s="46"/>
      <c r="CQ383" s="46"/>
      <c r="CR383" s="46"/>
      <c r="CS383" s="46"/>
      <c r="CT383" s="46"/>
      <c r="CU383" s="46"/>
      <c r="CV383" s="46"/>
      <c r="CW383" s="46"/>
      <c r="CX383" s="46"/>
      <c r="CY383" s="46"/>
      <c r="CZ383" s="46"/>
      <c r="DA383" s="46"/>
      <c r="DB383" s="46"/>
      <c r="DC383" s="46"/>
      <c r="DD383" s="46"/>
      <c r="DE383" s="46"/>
      <c r="DF383" s="46"/>
      <c r="DG383" s="46"/>
      <c r="DH383" s="46"/>
      <c r="DI383" s="46"/>
      <c r="DJ383" s="46"/>
      <c r="DK383" s="46"/>
      <c r="DL383" s="46"/>
      <c r="DM383" s="46"/>
      <c r="DN383" s="46"/>
      <c r="DO383" s="46"/>
      <c r="DP383" s="46"/>
      <c r="DQ383" s="46"/>
      <c r="DR383" s="46"/>
      <c r="DS383" s="46"/>
      <c r="DT383" s="46"/>
      <c r="DU383" s="46"/>
      <c r="DV383" s="46"/>
      <c r="DW383" s="46"/>
      <c r="DX383" s="46"/>
      <c r="DY383" s="46"/>
      <c r="DZ383" s="46"/>
      <c r="EA383" s="46"/>
      <c r="EB383" s="46"/>
      <c r="EC383" s="46"/>
      <c r="ED383" s="46"/>
      <c r="EE383" s="46"/>
      <c r="EF383" s="46"/>
      <c r="EG383" s="46"/>
      <c r="EH383" s="46"/>
      <c r="EI383" s="46"/>
      <c r="EJ383" s="46"/>
      <c r="EK383" s="46"/>
      <c r="EL383" s="46"/>
      <c r="EM383" s="46"/>
      <c r="EN383" s="46"/>
      <c r="EO383" s="46"/>
      <c r="EP383" s="46"/>
      <c r="EQ383" s="46"/>
      <c r="ER383" s="46"/>
      <c r="ES383" s="46"/>
      <c r="ET383" s="46"/>
      <c r="EU383" s="46"/>
      <c r="EV383" s="46"/>
      <c r="EW383" s="46"/>
      <c r="EX383" s="46"/>
      <c r="EY383" s="46"/>
      <c r="EZ383" s="46"/>
      <c r="FA383" s="46"/>
      <c r="FB383" s="46"/>
      <c r="FC383" s="46"/>
      <c r="FD383" s="46"/>
      <c r="FE383" s="46"/>
      <c r="FF383" s="46"/>
      <c r="FG383" s="46"/>
      <c r="FH383" s="46"/>
      <c r="FI383" s="46"/>
      <c r="FJ383" s="46"/>
      <c r="FK383" s="46"/>
      <c r="FL383" s="46"/>
      <c r="FM383" s="46"/>
      <c r="FN383" s="46"/>
      <c r="FO383" s="46"/>
      <c r="FP383" s="46"/>
      <c r="FQ383" s="46"/>
      <c r="FR383" s="46"/>
      <c r="FS383" s="46"/>
      <c r="FT383" s="46"/>
      <c r="FU383" s="46"/>
      <c r="FV383" s="46"/>
      <c r="FW383" s="46"/>
      <c r="FX383" s="46"/>
      <c r="FY383" s="46"/>
      <c r="FZ383" s="46"/>
      <c r="GA383" s="46"/>
      <c r="GB383" s="46"/>
      <c r="GC383" s="46"/>
      <c r="GD383" s="46"/>
      <c r="GE383" s="46"/>
      <c r="GF383" s="46"/>
      <c r="GG383" s="46"/>
      <c r="GH383" s="46"/>
      <c r="GI383" s="46"/>
      <c r="GJ383" s="46"/>
      <c r="GK383" s="46"/>
      <c r="GL383" s="46"/>
      <c r="GM383" s="46"/>
      <c r="GN383" s="46"/>
      <c r="GO383" s="46"/>
      <c r="GP383" s="46"/>
    </row>
    <row r="384" spans="1:198" s="60" customFormat="1" ht="15" x14ac:dyDescent="0.2">
      <c r="A384" s="61" t="s">
        <v>170</v>
      </c>
      <c r="B384" s="114" t="s">
        <v>74</v>
      </c>
      <c r="C384" s="160">
        <v>46826658.780000001</v>
      </c>
      <c r="D384" s="62">
        <v>4630688286.7542</v>
      </c>
      <c r="E384" s="58"/>
      <c r="F384" s="59"/>
      <c r="G384" s="171"/>
      <c r="H384" s="172"/>
      <c r="I384" s="171"/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171"/>
      <c r="AI384" s="171"/>
      <c r="AJ384" s="171"/>
      <c r="AK384" s="171"/>
      <c r="AL384" s="171"/>
      <c r="AM384" s="171"/>
      <c r="AN384" s="171"/>
      <c r="AO384" s="171"/>
      <c r="AP384" s="171"/>
      <c r="AQ384" s="171"/>
      <c r="AR384" s="171"/>
      <c r="AS384" s="171"/>
      <c r="AT384" s="171"/>
      <c r="AU384" s="171"/>
      <c r="AV384" s="171"/>
      <c r="AW384" s="171"/>
      <c r="AX384" s="171"/>
      <c r="AY384" s="171"/>
      <c r="AZ384" s="171"/>
      <c r="BA384" s="171"/>
      <c r="BB384" s="171"/>
      <c r="BC384" s="171"/>
      <c r="BD384" s="171"/>
      <c r="BE384" s="171"/>
      <c r="BF384" s="171"/>
      <c r="BG384" s="171"/>
      <c r="BH384" s="171"/>
      <c r="BI384" s="171"/>
      <c r="BJ384" s="171"/>
      <c r="BK384" s="171"/>
      <c r="BL384" s="171"/>
      <c r="BM384" s="171"/>
      <c r="BN384" s="171"/>
      <c r="BO384" s="171"/>
      <c r="BP384" s="171"/>
      <c r="BQ384" s="171"/>
      <c r="BR384" s="171"/>
      <c r="BS384" s="171"/>
      <c r="BT384" s="171"/>
      <c r="BU384" s="171"/>
      <c r="BV384" s="171"/>
      <c r="BW384" s="171"/>
      <c r="BX384" s="171"/>
      <c r="BY384" s="171"/>
      <c r="BZ384" s="171"/>
      <c r="CA384" s="171"/>
      <c r="CB384" s="171"/>
      <c r="CC384" s="171"/>
      <c r="CD384" s="171"/>
      <c r="CE384" s="171"/>
      <c r="CF384" s="171"/>
      <c r="CG384" s="171"/>
      <c r="CH384" s="171"/>
      <c r="CI384" s="171"/>
      <c r="CJ384" s="171"/>
      <c r="CK384" s="171"/>
      <c r="CL384" s="171"/>
      <c r="CM384" s="171"/>
      <c r="CN384" s="171"/>
      <c r="CO384" s="171"/>
      <c r="CP384" s="171"/>
      <c r="CQ384" s="171"/>
      <c r="CR384" s="171"/>
      <c r="CS384" s="171"/>
      <c r="CT384" s="171"/>
      <c r="CU384" s="171"/>
      <c r="CV384" s="171"/>
      <c r="CW384" s="171"/>
      <c r="CX384" s="171"/>
      <c r="CY384" s="171"/>
      <c r="CZ384" s="171"/>
      <c r="DA384" s="171"/>
      <c r="DB384" s="171"/>
      <c r="DC384" s="171"/>
      <c r="DD384" s="171"/>
      <c r="DE384" s="171"/>
      <c r="DF384" s="171"/>
      <c r="DG384" s="171"/>
      <c r="DH384" s="171"/>
      <c r="DI384" s="171"/>
      <c r="DJ384" s="171"/>
      <c r="DK384" s="171"/>
      <c r="DL384" s="171"/>
      <c r="DM384" s="171"/>
      <c r="DN384" s="171"/>
      <c r="DO384" s="171"/>
      <c r="DP384" s="171"/>
      <c r="DQ384" s="171"/>
      <c r="DR384" s="171"/>
      <c r="DS384" s="171"/>
      <c r="DT384" s="171"/>
      <c r="DU384" s="171"/>
      <c r="DV384" s="171"/>
      <c r="DW384" s="171"/>
      <c r="DX384" s="171"/>
      <c r="DY384" s="171"/>
      <c r="DZ384" s="171"/>
      <c r="EA384" s="171"/>
      <c r="EB384" s="171"/>
      <c r="EC384" s="171"/>
      <c r="ED384" s="171"/>
      <c r="EE384" s="171"/>
      <c r="EF384" s="171"/>
      <c r="EG384" s="171"/>
      <c r="EH384" s="171"/>
      <c r="EI384" s="171"/>
      <c r="EJ384" s="171"/>
      <c r="EK384" s="171"/>
      <c r="EL384" s="171"/>
      <c r="EM384" s="171"/>
      <c r="EN384" s="171"/>
      <c r="EO384" s="171"/>
      <c r="EP384" s="171"/>
      <c r="EQ384" s="171"/>
      <c r="ER384" s="171"/>
      <c r="ES384" s="171"/>
      <c r="ET384" s="171"/>
      <c r="EU384" s="171"/>
      <c r="EV384" s="171"/>
      <c r="EW384" s="171"/>
      <c r="EX384" s="171"/>
      <c r="EY384" s="171"/>
      <c r="EZ384" s="171"/>
      <c r="FA384" s="171"/>
      <c r="FB384" s="171"/>
      <c r="FC384" s="171"/>
      <c r="FD384" s="171"/>
      <c r="FE384" s="171"/>
      <c r="FF384" s="171"/>
      <c r="FG384" s="171"/>
      <c r="FH384" s="171"/>
      <c r="FI384" s="171"/>
      <c r="FJ384" s="171"/>
      <c r="FK384" s="171"/>
      <c r="FL384" s="171"/>
      <c r="FM384" s="171"/>
      <c r="FN384" s="171"/>
      <c r="FO384" s="171"/>
      <c r="FP384" s="171"/>
      <c r="FQ384" s="171"/>
      <c r="FR384" s="171"/>
      <c r="FS384" s="171"/>
      <c r="FT384" s="171"/>
      <c r="FU384" s="171"/>
      <c r="FV384" s="171"/>
      <c r="FW384" s="171"/>
      <c r="FX384" s="171"/>
      <c r="FY384" s="171"/>
      <c r="FZ384" s="171"/>
      <c r="GA384" s="171"/>
      <c r="GB384" s="171"/>
      <c r="GC384" s="171"/>
      <c r="GD384" s="171"/>
      <c r="GE384" s="171"/>
      <c r="GF384" s="171"/>
      <c r="GG384" s="171"/>
      <c r="GH384" s="171"/>
      <c r="GI384" s="171"/>
      <c r="GJ384" s="171"/>
      <c r="GK384" s="171"/>
      <c r="GL384" s="171"/>
      <c r="GM384" s="171"/>
      <c r="GN384" s="171"/>
      <c r="GO384" s="171"/>
      <c r="GP384" s="171"/>
    </row>
    <row r="385" spans="1:198" s="60" customFormat="1" ht="15" x14ac:dyDescent="0.2">
      <c r="A385" s="61" t="s">
        <v>308</v>
      </c>
      <c r="B385" s="114" t="s">
        <v>74</v>
      </c>
      <c r="C385" s="160">
        <v>7212629</v>
      </c>
      <c r="D385" s="62">
        <v>713256881.81000006</v>
      </c>
      <c r="E385" s="58"/>
      <c r="F385" s="59"/>
      <c r="G385" s="171"/>
      <c r="H385" s="172"/>
      <c r="I385" s="171"/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171"/>
      <c r="AI385" s="171"/>
      <c r="AJ385" s="171"/>
      <c r="AK385" s="171"/>
      <c r="AL385" s="171"/>
      <c r="AM385" s="171"/>
      <c r="AN385" s="171"/>
      <c r="AO385" s="171"/>
      <c r="AP385" s="171"/>
      <c r="AQ385" s="171"/>
      <c r="AR385" s="171"/>
      <c r="AS385" s="171"/>
      <c r="AT385" s="171"/>
      <c r="AU385" s="171"/>
      <c r="AV385" s="171"/>
      <c r="AW385" s="171"/>
      <c r="AX385" s="171"/>
      <c r="AY385" s="171"/>
      <c r="AZ385" s="171"/>
      <c r="BA385" s="171"/>
      <c r="BB385" s="171"/>
      <c r="BC385" s="171"/>
      <c r="BD385" s="171"/>
      <c r="BE385" s="171"/>
      <c r="BF385" s="171"/>
      <c r="BG385" s="171"/>
      <c r="BH385" s="171"/>
      <c r="BI385" s="171"/>
      <c r="BJ385" s="171"/>
      <c r="BK385" s="171"/>
      <c r="BL385" s="171"/>
      <c r="BM385" s="171"/>
      <c r="BN385" s="171"/>
      <c r="BO385" s="171"/>
      <c r="BP385" s="171"/>
      <c r="BQ385" s="171"/>
      <c r="BR385" s="171"/>
      <c r="BS385" s="171"/>
      <c r="BT385" s="171"/>
      <c r="BU385" s="171"/>
      <c r="BV385" s="171"/>
      <c r="BW385" s="171"/>
      <c r="BX385" s="171"/>
      <c r="BY385" s="171"/>
      <c r="BZ385" s="171"/>
      <c r="CA385" s="171"/>
      <c r="CB385" s="171"/>
      <c r="CC385" s="171"/>
      <c r="CD385" s="171"/>
      <c r="CE385" s="171"/>
      <c r="CF385" s="171"/>
      <c r="CG385" s="171"/>
      <c r="CH385" s="171"/>
      <c r="CI385" s="171"/>
      <c r="CJ385" s="171"/>
      <c r="CK385" s="171"/>
      <c r="CL385" s="171"/>
      <c r="CM385" s="171"/>
      <c r="CN385" s="171"/>
      <c r="CO385" s="171"/>
      <c r="CP385" s="171"/>
      <c r="CQ385" s="171"/>
      <c r="CR385" s="171"/>
      <c r="CS385" s="171"/>
      <c r="CT385" s="171"/>
      <c r="CU385" s="171"/>
      <c r="CV385" s="171"/>
      <c r="CW385" s="171"/>
      <c r="CX385" s="171"/>
      <c r="CY385" s="171"/>
      <c r="CZ385" s="171"/>
      <c r="DA385" s="171"/>
      <c r="DB385" s="171"/>
      <c r="DC385" s="171"/>
      <c r="DD385" s="171"/>
      <c r="DE385" s="171"/>
      <c r="DF385" s="171"/>
      <c r="DG385" s="171"/>
      <c r="DH385" s="171"/>
      <c r="DI385" s="171"/>
      <c r="DJ385" s="171"/>
      <c r="DK385" s="171"/>
      <c r="DL385" s="171"/>
      <c r="DM385" s="171"/>
      <c r="DN385" s="171"/>
      <c r="DO385" s="171"/>
      <c r="DP385" s="171"/>
      <c r="DQ385" s="171"/>
      <c r="DR385" s="171"/>
      <c r="DS385" s="171"/>
      <c r="DT385" s="171"/>
      <c r="DU385" s="171"/>
      <c r="DV385" s="171"/>
      <c r="DW385" s="171"/>
      <c r="DX385" s="171"/>
      <c r="DY385" s="171"/>
      <c r="DZ385" s="171"/>
      <c r="EA385" s="171"/>
      <c r="EB385" s="171"/>
      <c r="EC385" s="171"/>
      <c r="ED385" s="171"/>
      <c r="EE385" s="171"/>
      <c r="EF385" s="171"/>
      <c r="EG385" s="171"/>
      <c r="EH385" s="171"/>
      <c r="EI385" s="171"/>
      <c r="EJ385" s="171"/>
      <c r="EK385" s="171"/>
      <c r="EL385" s="171"/>
      <c r="EM385" s="171"/>
      <c r="EN385" s="171"/>
      <c r="EO385" s="171"/>
      <c r="EP385" s="171"/>
      <c r="EQ385" s="171"/>
      <c r="ER385" s="171"/>
      <c r="ES385" s="171"/>
      <c r="ET385" s="171"/>
      <c r="EU385" s="171"/>
      <c r="EV385" s="171"/>
      <c r="EW385" s="171"/>
      <c r="EX385" s="171"/>
      <c r="EY385" s="171"/>
      <c r="EZ385" s="171"/>
      <c r="FA385" s="171"/>
      <c r="FB385" s="171"/>
      <c r="FC385" s="171"/>
      <c r="FD385" s="171"/>
      <c r="FE385" s="171"/>
      <c r="FF385" s="171"/>
      <c r="FG385" s="171"/>
      <c r="FH385" s="171"/>
      <c r="FI385" s="171"/>
      <c r="FJ385" s="171"/>
      <c r="FK385" s="171"/>
      <c r="FL385" s="171"/>
      <c r="FM385" s="171"/>
      <c r="FN385" s="171"/>
      <c r="FO385" s="171"/>
      <c r="FP385" s="171"/>
      <c r="FQ385" s="171"/>
      <c r="FR385" s="171"/>
      <c r="FS385" s="171"/>
      <c r="FT385" s="171"/>
      <c r="FU385" s="171"/>
      <c r="FV385" s="171"/>
      <c r="FW385" s="171"/>
      <c r="FX385" s="171"/>
      <c r="FY385" s="171"/>
      <c r="FZ385" s="171"/>
      <c r="GA385" s="171"/>
      <c r="GB385" s="171"/>
      <c r="GC385" s="171"/>
      <c r="GD385" s="171"/>
      <c r="GE385" s="171"/>
      <c r="GF385" s="171"/>
      <c r="GG385" s="171"/>
      <c r="GH385" s="171"/>
      <c r="GI385" s="171"/>
      <c r="GJ385" s="171"/>
      <c r="GK385" s="171"/>
      <c r="GL385" s="171"/>
      <c r="GM385" s="171"/>
      <c r="GN385" s="171"/>
      <c r="GO385" s="171"/>
      <c r="GP385" s="171"/>
    </row>
    <row r="386" spans="1:198" s="60" customFormat="1" ht="15" x14ac:dyDescent="0.2">
      <c r="A386" s="61" t="s">
        <v>309</v>
      </c>
      <c r="B386" s="114" t="s">
        <v>74</v>
      </c>
      <c r="C386" s="160">
        <v>16969945.68</v>
      </c>
      <c r="D386" s="62">
        <v>1678157928.2951999</v>
      </c>
      <c r="E386" s="58"/>
      <c r="F386" s="59"/>
      <c r="G386" s="171"/>
      <c r="H386" s="172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71"/>
      <c r="AI386" s="171"/>
      <c r="AJ386" s="171"/>
      <c r="AK386" s="171"/>
      <c r="AL386" s="171"/>
      <c r="AM386" s="171"/>
      <c r="AN386" s="171"/>
      <c r="AO386" s="171"/>
      <c r="AP386" s="171"/>
      <c r="AQ386" s="171"/>
      <c r="AR386" s="171"/>
      <c r="AS386" s="171"/>
      <c r="AT386" s="171"/>
      <c r="AU386" s="171"/>
      <c r="AV386" s="171"/>
      <c r="AW386" s="171"/>
      <c r="AX386" s="171"/>
      <c r="AY386" s="171"/>
      <c r="AZ386" s="171"/>
      <c r="BA386" s="171"/>
      <c r="BB386" s="171"/>
      <c r="BC386" s="171"/>
      <c r="BD386" s="171"/>
      <c r="BE386" s="171"/>
      <c r="BF386" s="171"/>
      <c r="BG386" s="171"/>
      <c r="BH386" s="171"/>
      <c r="BI386" s="171"/>
      <c r="BJ386" s="171"/>
      <c r="BK386" s="171"/>
      <c r="BL386" s="171"/>
      <c r="BM386" s="171"/>
      <c r="BN386" s="171"/>
      <c r="BO386" s="171"/>
      <c r="BP386" s="171"/>
      <c r="BQ386" s="171"/>
      <c r="BR386" s="171"/>
      <c r="BS386" s="171"/>
      <c r="BT386" s="171"/>
      <c r="BU386" s="171"/>
      <c r="BV386" s="171"/>
      <c r="BW386" s="171"/>
      <c r="BX386" s="171"/>
      <c r="BY386" s="171"/>
      <c r="BZ386" s="171"/>
      <c r="CA386" s="171"/>
      <c r="CB386" s="171"/>
      <c r="CC386" s="171"/>
      <c r="CD386" s="171"/>
      <c r="CE386" s="171"/>
      <c r="CF386" s="171"/>
      <c r="CG386" s="171"/>
      <c r="CH386" s="171"/>
      <c r="CI386" s="171"/>
      <c r="CJ386" s="171"/>
      <c r="CK386" s="171"/>
      <c r="CL386" s="171"/>
      <c r="CM386" s="171"/>
      <c r="CN386" s="171"/>
      <c r="CO386" s="171"/>
      <c r="CP386" s="171"/>
      <c r="CQ386" s="171"/>
      <c r="CR386" s="171"/>
      <c r="CS386" s="171"/>
      <c r="CT386" s="171"/>
      <c r="CU386" s="171"/>
      <c r="CV386" s="171"/>
      <c r="CW386" s="171"/>
      <c r="CX386" s="171"/>
      <c r="CY386" s="171"/>
      <c r="CZ386" s="171"/>
      <c r="DA386" s="171"/>
      <c r="DB386" s="171"/>
      <c r="DC386" s="171"/>
      <c r="DD386" s="171"/>
      <c r="DE386" s="171"/>
      <c r="DF386" s="171"/>
      <c r="DG386" s="171"/>
      <c r="DH386" s="171"/>
      <c r="DI386" s="171"/>
      <c r="DJ386" s="171"/>
      <c r="DK386" s="171"/>
      <c r="DL386" s="171"/>
      <c r="DM386" s="171"/>
      <c r="DN386" s="171"/>
      <c r="DO386" s="171"/>
      <c r="DP386" s="171"/>
      <c r="DQ386" s="171"/>
      <c r="DR386" s="171"/>
      <c r="DS386" s="171"/>
      <c r="DT386" s="171"/>
      <c r="DU386" s="171"/>
      <c r="DV386" s="171"/>
      <c r="DW386" s="171"/>
      <c r="DX386" s="171"/>
      <c r="DY386" s="171"/>
      <c r="DZ386" s="171"/>
      <c r="EA386" s="171"/>
      <c r="EB386" s="171"/>
      <c r="EC386" s="171"/>
      <c r="ED386" s="171"/>
      <c r="EE386" s="171"/>
      <c r="EF386" s="171"/>
      <c r="EG386" s="171"/>
      <c r="EH386" s="171"/>
      <c r="EI386" s="171"/>
      <c r="EJ386" s="171"/>
      <c r="EK386" s="171"/>
      <c r="EL386" s="171"/>
      <c r="EM386" s="171"/>
      <c r="EN386" s="171"/>
      <c r="EO386" s="171"/>
      <c r="EP386" s="171"/>
      <c r="EQ386" s="171"/>
      <c r="ER386" s="171"/>
      <c r="ES386" s="171"/>
      <c r="ET386" s="171"/>
      <c r="EU386" s="171"/>
      <c r="EV386" s="171"/>
      <c r="EW386" s="171"/>
      <c r="EX386" s="171"/>
      <c r="EY386" s="171"/>
      <c r="EZ386" s="171"/>
      <c r="FA386" s="171"/>
      <c r="FB386" s="171"/>
      <c r="FC386" s="171"/>
      <c r="FD386" s="171"/>
      <c r="FE386" s="171"/>
      <c r="FF386" s="171"/>
      <c r="FG386" s="171"/>
      <c r="FH386" s="171"/>
      <c r="FI386" s="171"/>
      <c r="FJ386" s="171"/>
      <c r="FK386" s="171"/>
      <c r="FL386" s="171"/>
      <c r="FM386" s="171"/>
      <c r="FN386" s="171"/>
      <c r="FO386" s="171"/>
      <c r="FP386" s="171"/>
      <c r="FQ386" s="171"/>
      <c r="FR386" s="171"/>
      <c r="FS386" s="171"/>
      <c r="FT386" s="171"/>
      <c r="FU386" s="171"/>
      <c r="FV386" s="171"/>
      <c r="FW386" s="171"/>
      <c r="FX386" s="171"/>
      <c r="FY386" s="171"/>
      <c r="FZ386" s="171"/>
      <c r="GA386" s="171"/>
      <c r="GB386" s="171"/>
      <c r="GC386" s="171"/>
      <c r="GD386" s="171"/>
      <c r="GE386" s="171"/>
      <c r="GF386" s="171"/>
      <c r="GG386" s="171"/>
      <c r="GH386" s="171"/>
      <c r="GI386" s="171"/>
      <c r="GJ386" s="171"/>
      <c r="GK386" s="171"/>
      <c r="GL386" s="171"/>
      <c r="GM386" s="171"/>
      <c r="GN386" s="171"/>
      <c r="GO386" s="171"/>
      <c r="GP386" s="171"/>
    </row>
    <row r="387" spans="1:198" s="60" customFormat="1" ht="15" x14ac:dyDescent="0.2">
      <c r="A387" s="61" t="s">
        <v>339</v>
      </c>
      <c r="B387" s="114" t="s">
        <v>74</v>
      </c>
      <c r="C387" s="160">
        <v>702100</v>
      </c>
      <c r="D387" s="62">
        <v>69430669</v>
      </c>
      <c r="E387" s="58"/>
      <c r="F387" s="59"/>
      <c r="G387" s="171"/>
      <c r="H387" s="172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  <c r="AK387" s="171"/>
      <c r="AL387" s="171"/>
      <c r="AM387" s="171"/>
      <c r="AN387" s="171"/>
      <c r="AO387" s="171"/>
      <c r="AP387" s="171"/>
      <c r="AQ387" s="171"/>
      <c r="AR387" s="171"/>
      <c r="AS387" s="171"/>
      <c r="AT387" s="171"/>
      <c r="AU387" s="171"/>
      <c r="AV387" s="171"/>
      <c r="AW387" s="171"/>
      <c r="AX387" s="171"/>
      <c r="AY387" s="171"/>
      <c r="AZ387" s="171"/>
      <c r="BA387" s="171"/>
      <c r="BB387" s="171"/>
      <c r="BC387" s="171"/>
      <c r="BD387" s="171"/>
      <c r="BE387" s="171"/>
      <c r="BF387" s="171"/>
      <c r="BG387" s="171"/>
      <c r="BH387" s="171"/>
      <c r="BI387" s="171"/>
      <c r="BJ387" s="171"/>
      <c r="BK387" s="171"/>
      <c r="BL387" s="171"/>
      <c r="BM387" s="171"/>
      <c r="BN387" s="171"/>
      <c r="BO387" s="171"/>
      <c r="BP387" s="171"/>
      <c r="BQ387" s="171"/>
      <c r="BR387" s="171"/>
      <c r="BS387" s="171"/>
      <c r="BT387" s="171"/>
      <c r="BU387" s="171"/>
      <c r="BV387" s="171"/>
      <c r="BW387" s="171"/>
      <c r="BX387" s="171"/>
      <c r="BY387" s="171"/>
      <c r="BZ387" s="171"/>
      <c r="CA387" s="171"/>
      <c r="CB387" s="171"/>
      <c r="CC387" s="171"/>
      <c r="CD387" s="171"/>
      <c r="CE387" s="171"/>
      <c r="CF387" s="171"/>
      <c r="CG387" s="171"/>
      <c r="CH387" s="171"/>
      <c r="CI387" s="171"/>
      <c r="CJ387" s="171"/>
      <c r="CK387" s="171"/>
      <c r="CL387" s="171"/>
      <c r="CM387" s="171"/>
      <c r="CN387" s="171"/>
      <c r="CO387" s="171"/>
      <c r="CP387" s="171"/>
      <c r="CQ387" s="171"/>
      <c r="CR387" s="171"/>
      <c r="CS387" s="171"/>
      <c r="CT387" s="171"/>
      <c r="CU387" s="171"/>
      <c r="CV387" s="171"/>
      <c r="CW387" s="171"/>
      <c r="CX387" s="171"/>
      <c r="CY387" s="171"/>
      <c r="CZ387" s="171"/>
      <c r="DA387" s="171"/>
      <c r="DB387" s="171"/>
      <c r="DC387" s="171"/>
      <c r="DD387" s="171"/>
      <c r="DE387" s="171"/>
      <c r="DF387" s="171"/>
      <c r="DG387" s="171"/>
      <c r="DH387" s="171"/>
      <c r="DI387" s="171"/>
      <c r="DJ387" s="171"/>
      <c r="DK387" s="171"/>
      <c r="DL387" s="171"/>
      <c r="DM387" s="171"/>
      <c r="DN387" s="171"/>
      <c r="DO387" s="171"/>
      <c r="DP387" s="171"/>
      <c r="DQ387" s="171"/>
      <c r="DR387" s="171"/>
      <c r="DS387" s="171"/>
      <c r="DT387" s="171"/>
      <c r="DU387" s="171"/>
      <c r="DV387" s="171"/>
      <c r="DW387" s="171"/>
      <c r="DX387" s="171"/>
      <c r="DY387" s="171"/>
      <c r="DZ387" s="171"/>
      <c r="EA387" s="171"/>
      <c r="EB387" s="171"/>
      <c r="EC387" s="171"/>
      <c r="ED387" s="171"/>
      <c r="EE387" s="171"/>
      <c r="EF387" s="171"/>
      <c r="EG387" s="171"/>
      <c r="EH387" s="171"/>
      <c r="EI387" s="171"/>
      <c r="EJ387" s="171"/>
      <c r="EK387" s="171"/>
      <c r="EL387" s="171"/>
      <c r="EM387" s="171"/>
      <c r="EN387" s="171"/>
      <c r="EO387" s="171"/>
      <c r="EP387" s="171"/>
      <c r="EQ387" s="171"/>
      <c r="ER387" s="171"/>
      <c r="ES387" s="171"/>
      <c r="ET387" s="171"/>
      <c r="EU387" s="171"/>
      <c r="EV387" s="171"/>
      <c r="EW387" s="171"/>
      <c r="EX387" s="171"/>
      <c r="EY387" s="171"/>
      <c r="EZ387" s="171"/>
      <c r="FA387" s="171"/>
      <c r="FB387" s="171"/>
      <c r="FC387" s="171"/>
      <c r="FD387" s="171"/>
      <c r="FE387" s="171"/>
      <c r="FF387" s="171"/>
      <c r="FG387" s="171"/>
      <c r="FH387" s="171"/>
      <c r="FI387" s="171"/>
      <c r="FJ387" s="171"/>
      <c r="FK387" s="171"/>
      <c r="FL387" s="171"/>
      <c r="FM387" s="171"/>
      <c r="FN387" s="171"/>
      <c r="FO387" s="171"/>
      <c r="FP387" s="171"/>
      <c r="FQ387" s="171"/>
      <c r="FR387" s="171"/>
      <c r="FS387" s="171"/>
      <c r="FT387" s="171"/>
      <c r="FU387" s="171"/>
      <c r="FV387" s="171"/>
      <c r="FW387" s="171"/>
      <c r="FX387" s="171"/>
      <c r="FY387" s="171"/>
      <c r="FZ387" s="171"/>
      <c r="GA387" s="171"/>
      <c r="GB387" s="171"/>
      <c r="GC387" s="171"/>
      <c r="GD387" s="171"/>
      <c r="GE387" s="171"/>
      <c r="GF387" s="171"/>
      <c r="GG387" s="171"/>
      <c r="GH387" s="171"/>
      <c r="GI387" s="171"/>
      <c r="GJ387" s="171"/>
      <c r="GK387" s="171"/>
      <c r="GL387" s="171"/>
      <c r="GM387" s="171"/>
      <c r="GN387" s="171"/>
      <c r="GO387" s="171"/>
      <c r="GP387" s="171"/>
    </row>
    <row r="388" spans="1:198" ht="15" x14ac:dyDescent="0.2">
      <c r="A388" s="76"/>
      <c r="B388" s="95"/>
      <c r="C388" s="101"/>
      <c r="D388" s="79"/>
      <c r="E388" s="16"/>
      <c r="F388" s="31"/>
      <c r="G388" s="165"/>
      <c r="H388" s="47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  <c r="CI388" s="46"/>
      <c r="CJ388" s="46"/>
      <c r="CK388" s="46"/>
      <c r="CL388" s="46"/>
      <c r="CM388" s="46"/>
      <c r="CN388" s="46"/>
      <c r="CO388" s="46"/>
      <c r="CP388" s="46"/>
      <c r="CQ388" s="46"/>
      <c r="CR388" s="46"/>
      <c r="CS388" s="46"/>
      <c r="CT388" s="46"/>
      <c r="CU388" s="46"/>
      <c r="CV388" s="46"/>
      <c r="CW388" s="46"/>
      <c r="CX388" s="46"/>
      <c r="CY388" s="46"/>
      <c r="CZ388" s="46"/>
      <c r="DA388" s="46"/>
      <c r="DB388" s="46"/>
      <c r="DC388" s="46"/>
      <c r="DD388" s="46"/>
      <c r="DE388" s="46"/>
      <c r="DF388" s="46"/>
      <c r="DG388" s="46"/>
      <c r="DH388" s="46"/>
      <c r="DI388" s="46"/>
      <c r="DJ388" s="46"/>
      <c r="DK388" s="46"/>
      <c r="DL388" s="46"/>
      <c r="DM388" s="46"/>
      <c r="DN388" s="46"/>
      <c r="DO388" s="46"/>
      <c r="DP388" s="46"/>
      <c r="DQ388" s="46"/>
      <c r="DR388" s="46"/>
      <c r="DS388" s="46"/>
      <c r="DT388" s="46"/>
      <c r="DU388" s="46"/>
      <c r="DV388" s="46"/>
      <c r="DW388" s="46"/>
      <c r="DX388" s="46"/>
      <c r="DY388" s="46"/>
      <c r="DZ388" s="46"/>
      <c r="EA388" s="46"/>
      <c r="EB388" s="46"/>
      <c r="EC388" s="46"/>
      <c r="ED388" s="46"/>
      <c r="EE388" s="46"/>
      <c r="EF388" s="46"/>
      <c r="EG388" s="46"/>
      <c r="EH388" s="46"/>
      <c r="EI388" s="46"/>
      <c r="EJ388" s="46"/>
      <c r="EK388" s="46"/>
      <c r="EL388" s="46"/>
      <c r="EM388" s="46"/>
      <c r="EN388" s="46"/>
      <c r="EO388" s="46"/>
      <c r="EP388" s="46"/>
      <c r="EQ388" s="46"/>
      <c r="ER388" s="46"/>
      <c r="ES388" s="46"/>
      <c r="ET388" s="46"/>
      <c r="EU388" s="46"/>
      <c r="EV388" s="46"/>
      <c r="EW388" s="46"/>
      <c r="EX388" s="46"/>
      <c r="EY388" s="46"/>
      <c r="EZ388" s="46"/>
      <c r="FA388" s="46"/>
      <c r="FB388" s="46"/>
      <c r="FC388" s="46"/>
      <c r="FD388" s="46"/>
      <c r="FE388" s="46"/>
      <c r="FF388" s="46"/>
      <c r="FG388" s="46"/>
      <c r="FH388" s="46"/>
      <c r="FI388" s="46"/>
      <c r="FJ388" s="46"/>
      <c r="FK388" s="46"/>
      <c r="FL388" s="46"/>
      <c r="FM388" s="46"/>
      <c r="FN388" s="46"/>
      <c r="FO388" s="46"/>
      <c r="FP388" s="46"/>
      <c r="FQ388" s="46"/>
      <c r="FR388" s="46"/>
      <c r="FS388" s="46"/>
      <c r="FT388" s="46"/>
      <c r="FU388" s="46"/>
      <c r="FV388" s="46"/>
      <c r="FW388" s="46"/>
      <c r="FX388" s="46"/>
      <c r="FY388" s="46"/>
      <c r="FZ388" s="46"/>
      <c r="GA388" s="46"/>
      <c r="GB388" s="46"/>
      <c r="GC388" s="46"/>
      <c r="GD388" s="46"/>
      <c r="GE388" s="46"/>
      <c r="GF388" s="46"/>
      <c r="GG388" s="46"/>
      <c r="GH388" s="46"/>
      <c r="GI388" s="46"/>
      <c r="GJ388" s="46"/>
      <c r="GK388" s="46"/>
      <c r="GL388" s="46"/>
      <c r="GM388" s="46"/>
      <c r="GN388" s="46"/>
      <c r="GO388" s="46"/>
      <c r="GP388" s="46"/>
    </row>
    <row r="389" spans="1:198" ht="15" x14ac:dyDescent="0.2">
      <c r="A389" s="61" t="s">
        <v>92</v>
      </c>
      <c r="B389" s="123"/>
      <c r="C389" s="112"/>
      <c r="D389" s="110">
        <v>26949857101.173</v>
      </c>
      <c r="E389" s="16"/>
      <c r="F389" s="31"/>
      <c r="G389" s="165"/>
      <c r="H389" s="47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  <c r="CM389" s="46"/>
      <c r="CN389" s="46"/>
      <c r="CO389" s="46"/>
      <c r="CP389" s="46"/>
      <c r="CQ389" s="46"/>
      <c r="CR389" s="46"/>
      <c r="CS389" s="46"/>
      <c r="CT389" s="46"/>
      <c r="CU389" s="46"/>
      <c r="CV389" s="46"/>
      <c r="CW389" s="46"/>
      <c r="CX389" s="46"/>
      <c r="CY389" s="46"/>
      <c r="CZ389" s="46"/>
      <c r="DA389" s="46"/>
      <c r="DB389" s="46"/>
      <c r="DC389" s="46"/>
      <c r="DD389" s="46"/>
      <c r="DE389" s="46"/>
      <c r="DF389" s="46"/>
      <c r="DG389" s="46"/>
      <c r="DH389" s="46"/>
      <c r="DI389" s="46"/>
      <c r="DJ389" s="46"/>
      <c r="DK389" s="46"/>
      <c r="DL389" s="46"/>
      <c r="DM389" s="46"/>
      <c r="DN389" s="46"/>
      <c r="DO389" s="46"/>
      <c r="DP389" s="46"/>
      <c r="DQ389" s="46"/>
      <c r="DR389" s="46"/>
      <c r="DS389" s="46"/>
      <c r="DT389" s="46"/>
      <c r="DU389" s="46"/>
      <c r="DV389" s="46"/>
      <c r="DW389" s="46"/>
      <c r="DX389" s="46"/>
      <c r="DY389" s="46"/>
      <c r="DZ389" s="46"/>
      <c r="EA389" s="46"/>
      <c r="EB389" s="46"/>
      <c r="EC389" s="46"/>
      <c r="ED389" s="46"/>
      <c r="EE389" s="46"/>
      <c r="EF389" s="46"/>
      <c r="EG389" s="46"/>
      <c r="EH389" s="46"/>
      <c r="EI389" s="46"/>
      <c r="EJ389" s="46"/>
      <c r="EK389" s="46"/>
      <c r="EL389" s="46"/>
      <c r="EM389" s="46"/>
      <c r="EN389" s="46"/>
      <c r="EO389" s="46"/>
      <c r="EP389" s="46"/>
      <c r="EQ389" s="46"/>
      <c r="ER389" s="46"/>
      <c r="ES389" s="46"/>
      <c r="ET389" s="46"/>
      <c r="EU389" s="46"/>
      <c r="EV389" s="46"/>
      <c r="EW389" s="46"/>
      <c r="EX389" s="46"/>
      <c r="EY389" s="46"/>
      <c r="EZ389" s="46"/>
      <c r="FA389" s="46"/>
      <c r="FB389" s="46"/>
      <c r="FC389" s="46"/>
      <c r="FD389" s="46"/>
      <c r="FE389" s="46"/>
      <c r="FF389" s="46"/>
      <c r="FG389" s="46"/>
      <c r="FH389" s="46"/>
      <c r="FI389" s="46"/>
      <c r="FJ389" s="46"/>
      <c r="FK389" s="46"/>
      <c r="FL389" s="46"/>
      <c r="FM389" s="46"/>
      <c r="FN389" s="46"/>
      <c r="FO389" s="46"/>
      <c r="FP389" s="46"/>
      <c r="FQ389" s="46"/>
      <c r="FR389" s="46"/>
      <c r="FS389" s="46"/>
      <c r="FT389" s="46"/>
      <c r="FU389" s="46"/>
      <c r="FV389" s="46"/>
      <c r="FW389" s="46"/>
      <c r="FX389" s="46"/>
      <c r="FY389" s="46"/>
      <c r="FZ389" s="46"/>
      <c r="GA389" s="46"/>
      <c r="GB389" s="46"/>
      <c r="GC389" s="46"/>
      <c r="GD389" s="46"/>
      <c r="GE389" s="46"/>
      <c r="GF389" s="46"/>
      <c r="GG389" s="46"/>
      <c r="GH389" s="46"/>
      <c r="GI389" s="46"/>
      <c r="GJ389" s="46"/>
      <c r="GK389" s="46"/>
      <c r="GL389" s="46"/>
      <c r="GM389" s="46"/>
      <c r="GN389" s="46"/>
      <c r="GO389" s="46"/>
      <c r="GP389" s="46"/>
    </row>
    <row r="390" spans="1:198" x14ac:dyDescent="0.2">
      <c r="A390" s="76"/>
      <c r="B390" s="86"/>
      <c r="C390" s="74"/>
      <c r="D390" s="79"/>
      <c r="G390" s="46"/>
      <c r="H390" s="47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  <c r="CI390" s="46"/>
      <c r="CJ390" s="46"/>
      <c r="CK390" s="46"/>
      <c r="CL390" s="46"/>
      <c r="CM390" s="46"/>
      <c r="CN390" s="46"/>
      <c r="CO390" s="46"/>
      <c r="CP390" s="46"/>
      <c r="CQ390" s="46"/>
      <c r="CR390" s="46"/>
      <c r="CS390" s="46"/>
      <c r="CT390" s="46"/>
      <c r="CU390" s="46"/>
      <c r="CV390" s="46"/>
      <c r="CW390" s="46"/>
      <c r="CX390" s="46"/>
      <c r="CY390" s="46"/>
      <c r="CZ390" s="46"/>
      <c r="DA390" s="46"/>
      <c r="DB390" s="46"/>
      <c r="DC390" s="46"/>
      <c r="DD390" s="46"/>
      <c r="DE390" s="46"/>
      <c r="DF390" s="46"/>
      <c r="DG390" s="46"/>
      <c r="DH390" s="46"/>
      <c r="DI390" s="46"/>
      <c r="DJ390" s="46"/>
      <c r="DK390" s="46"/>
      <c r="DL390" s="46"/>
      <c r="DM390" s="46"/>
      <c r="DN390" s="46"/>
      <c r="DO390" s="46"/>
      <c r="DP390" s="46"/>
      <c r="DQ390" s="46"/>
      <c r="DR390" s="46"/>
      <c r="DS390" s="46"/>
      <c r="DT390" s="46"/>
      <c r="DU390" s="46"/>
      <c r="DV390" s="46"/>
      <c r="DW390" s="46"/>
      <c r="DX390" s="46"/>
      <c r="DY390" s="46"/>
      <c r="DZ390" s="46"/>
      <c r="EA390" s="46"/>
      <c r="EB390" s="46"/>
      <c r="EC390" s="46"/>
      <c r="ED390" s="46"/>
      <c r="EE390" s="46"/>
      <c r="EF390" s="46"/>
      <c r="EG390" s="46"/>
      <c r="EH390" s="46"/>
      <c r="EI390" s="46"/>
      <c r="EJ390" s="46"/>
      <c r="EK390" s="46"/>
      <c r="EL390" s="46"/>
      <c r="EM390" s="46"/>
      <c r="EN390" s="46"/>
      <c r="EO390" s="46"/>
      <c r="EP390" s="46"/>
      <c r="EQ390" s="46"/>
      <c r="ER390" s="46"/>
      <c r="ES390" s="46"/>
      <c r="ET390" s="46"/>
      <c r="EU390" s="46"/>
      <c r="EV390" s="46"/>
      <c r="EW390" s="46"/>
      <c r="EX390" s="46"/>
      <c r="EY390" s="46"/>
      <c r="EZ390" s="46"/>
      <c r="FA390" s="46"/>
      <c r="FB390" s="46"/>
      <c r="FC390" s="46"/>
      <c r="FD390" s="46"/>
      <c r="FE390" s="46"/>
      <c r="FF390" s="46"/>
      <c r="FG390" s="46"/>
      <c r="FH390" s="46"/>
      <c r="FI390" s="46"/>
      <c r="FJ390" s="46"/>
      <c r="FK390" s="46"/>
      <c r="FL390" s="46"/>
      <c r="FM390" s="46"/>
      <c r="FN390" s="46"/>
      <c r="FO390" s="46"/>
      <c r="FP390" s="46"/>
      <c r="FQ390" s="46"/>
      <c r="FR390" s="46"/>
      <c r="FS390" s="46"/>
      <c r="FT390" s="46"/>
      <c r="FU390" s="46"/>
      <c r="FV390" s="46"/>
      <c r="FW390" s="46"/>
      <c r="FX390" s="46"/>
      <c r="FY390" s="46"/>
      <c r="FZ390" s="46"/>
      <c r="GA390" s="46"/>
      <c r="GB390" s="46"/>
      <c r="GC390" s="46"/>
      <c r="GD390" s="46"/>
      <c r="GE390" s="46"/>
      <c r="GF390" s="46"/>
      <c r="GG390" s="46"/>
      <c r="GH390" s="46"/>
      <c r="GI390" s="46"/>
      <c r="GJ390" s="46"/>
      <c r="GK390" s="46"/>
      <c r="GL390" s="46"/>
      <c r="GM390" s="46"/>
      <c r="GN390" s="46"/>
      <c r="GO390" s="46"/>
      <c r="GP390" s="46"/>
    </row>
    <row r="391" spans="1:198" s="46" customFormat="1" ht="15" x14ac:dyDescent="0.2">
      <c r="A391" s="61" t="s">
        <v>51</v>
      </c>
      <c r="B391" s="86"/>
      <c r="C391" s="74"/>
      <c r="D391" s="75"/>
      <c r="E391" s="44"/>
      <c r="F391" s="45"/>
      <c r="H391" s="47"/>
    </row>
    <row r="392" spans="1:198" ht="15" x14ac:dyDescent="0.2">
      <c r="A392" s="61" t="s">
        <v>62</v>
      </c>
      <c r="B392" s="68" t="s">
        <v>33</v>
      </c>
      <c r="C392" s="63">
        <v>1130000</v>
      </c>
      <c r="D392" s="62">
        <v>111745700</v>
      </c>
      <c r="E392" s="16">
        <f>1640942.8-136745.22</f>
        <v>1504197.58</v>
      </c>
      <c r="F392" s="31">
        <v>2051031056</v>
      </c>
      <c r="G392" s="46"/>
      <c r="H392" s="47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  <c r="CM392" s="46"/>
      <c r="CN392" s="46"/>
      <c r="CO392" s="46"/>
      <c r="CP392" s="46"/>
      <c r="CQ392" s="46"/>
      <c r="CR392" s="46"/>
      <c r="CS392" s="46"/>
      <c r="CT392" s="46"/>
      <c r="CU392" s="46"/>
      <c r="CV392" s="46"/>
      <c r="CW392" s="46"/>
      <c r="CX392" s="46"/>
      <c r="CY392" s="46"/>
      <c r="CZ392" s="46"/>
      <c r="DA392" s="46"/>
      <c r="DB392" s="46"/>
      <c r="DC392" s="46"/>
      <c r="DD392" s="46"/>
      <c r="DE392" s="46"/>
      <c r="DF392" s="46"/>
      <c r="DG392" s="46"/>
      <c r="DH392" s="46"/>
      <c r="DI392" s="46"/>
      <c r="DJ392" s="46"/>
      <c r="DK392" s="46"/>
      <c r="DL392" s="46"/>
      <c r="DM392" s="46"/>
      <c r="DN392" s="46"/>
      <c r="DO392" s="46"/>
      <c r="DP392" s="46"/>
      <c r="DQ392" s="46"/>
      <c r="DR392" s="46"/>
      <c r="DS392" s="46"/>
      <c r="DT392" s="46"/>
      <c r="DU392" s="46"/>
      <c r="DV392" s="46"/>
      <c r="DW392" s="46"/>
      <c r="DX392" s="46"/>
      <c r="DY392" s="46"/>
      <c r="DZ392" s="46"/>
      <c r="EA392" s="46"/>
      <c r="EB392" s="46"/>
      <c r="EC392" s="46"/>
      <c r="ED392" s="46"/>
      <c r="EE392" s="46"/>
      <c r="EF392" s="46"/>
      <c r="EG392" s="46"/>
      <c r="EH392" s="46"/>
      <c r="EI392" s="46"/>
      <c r="EJ392" s="46"/>
      <c r="EK392" s="46"/>
      <c r="EL392" s="46"/>
      <c r="EM392" s="46"/>
      <c r="EN392" s="46"/>
      <c r="EO392" s="46"/>
      <c r="EP392" s="46"/>
      <c r="EQ392" s="46"/>
      <c r="ER392" s="46"/>
      <c r="ES392" s="46"/>
      <c r="ET392" s="46"/>
      <c r="EU392" s="46"/>
      <c r="EV392" s="46"/>
      <c r="EW392" s="46"/>
      <c r="EX392" s="46"/>
      <c r="EY392" s="46"/>
      <c r="EZ392" s="46"/>
      <c r="FA392" s="46"/>
      <c r="FB392" s="46"/>
      <c r="FC392" s="46"/>
      <c r="FD392" s="46"/>
      <c r="FE392" s="46"/>
      <c r="FF392" s="46"/>
      <c r="FG392" s="46"/>
      <c r="FH392" s="46"/>
      <c r="FI392" s="46"/>
      <c r="FJ392" s="46"/>
      <c r="FK392" s="46"/>
      <c r="FL392" s="46"/>
      <c r="FM392" s="46"/>
      <c r="FN392" s="46"/>
      <c r="FO392" s="46"/>
      <c r="FP392" s="46"/>
      <c r="FQ392" s="46"/>
      <c r="FR392" s="46"/>
      <c r="FS392" s="46"/>
      <c r="FT392" s="46"/>
      <c r="FU392" s="46"/>
      <c r="FV392" s="46"/>
      <c r="FW392" s="46"/>
      <c r="FX392" s="46"/>
      <c r="FY392" s="46"/>
      <c r="FZ392" s="46"/>
      <c r="GA392" s="46"/>
      <c r="GB392" s="46"/>
      <c r="GC392" s="46"/>
      <c r="GD392" s="46"/>
      <c r="GE392" s="46"/>
      <c r="GF392" s="46"/>
      <c r="GG392" s="46"/>
      <c r="GH392" s="46"/>
      <c r="GI392" s="46"/>
      <c r="GJ392" s="46"/>
      <c r="GK392" s="46"/>
      <c r="GL392" s="46"/>
      <c r="GM392" s="46"/>
      <c r="GN392" s="46"/>
      <c r="GO392" s="46"/>
      <c r="GP392" s="46"/>
    </row>
    <row r="393" spans="1:198" ht="15" x14ac:dyDescent="0.2">
      <c r="A393" s="61" t="s">
        <v>63</v>
      </c>
      <c r="B393" s="68" t="s">
        <v>33</v>
      </c>
      <c r="C393" s="63">
        <v>1081341.1499999999</v>
      </c>
      <c r="D393" s="62">
        <v>106933826.32349999</v>
      </c>
      <c r="E393" s="16">
        <f>11615819.29-1058600</f>
        <v>10557219.289999999</v>
      </c>
      <c r="F393" s="31">
        <v>2051031054</v>
      </c>
      <c r="G393" s="46"/>
      <c r="H393" s="47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  <c r="CM393" s="46"/>
      <c r="CN393" s="46"/>
      <c r="CO393" s="46"/>
      <c r="CP393" s="46"/>
      <c r="CQ393" s="46"/>
      <c r="CR393" s="46"/>
      <c r="CS393" s="46"/>
      <c r="CT393" s="46"/>
      <c r="CU393" s="46"/>
      <c r="CV393" s="46"/>
      <c r="CW393" s="46"/>
      <c r="CX393" s="46"/>
      <c r="CY393" s="46"/>
      <c r="CZ393" s="46"/>
      <c r="DA393" s="46"/>
      <c r="DB393" s="46"/>
      <c r="DC393" s="46"/>
      <c r="DD393" s="46"/>
      <c r="DE393" s="46"/>
      <c r="DF393" s="46"/>
      <c r="DG393" s="46"/>
      <c r="DH393" s="46"/>
      <c r="DI393" s="46"/>
      <c r="DJ393" s="46"/>
      <c r="DK393" s="46"/>
      <c r="DL393" s="46"/>
      <c r="DM393" s="46"/>
      <c r="DN393" s="46"/>
      <c r="DO393" s="46"/>
      <c r="DP393" s="46"/>
      <c r="DQ393" s="46"/>
      <c r="DR393" s="46"/>
      <c r="DS393" s="46"/>
      <c r="DT393" s="46"/>
      <c r="DU393" s="46"/>
      <c r="DV393" s="46"/>
      <c r="DW393" s="46"/>
      <c r="DX393" s="46"/>
      <c r="DY393" s="46"/>
      <c r="DZ393" s="46"/>
      <c r="EA393" s="46"/>
      <c r="EB393" s="46"/>
      <c r="EC393" s="46"/>
      <c r="ED393" s="46"/>
      <c r="EE393" s="46"/>
      <c r="EF393" s="46"/>
      <c r="EG393" s="46"/>
      <c r="EH393" s="46"/>
      <c r="EI393" s="46"/>
      <c r="EJ393" s="46"/>
      <c r="EK393" s="46"/>
      <c r="EL393" s="46"/>
      <c r="EM393" s="46"/>
      <c r="EN393" s="46"/>
      <c r="EO393" s="46"/>
      <c r="EP393" s="46"/>
      <c r="EQ393" s="46"/>
      <c r="ER393" s="46"/>
      <c r="ES393" s="46"/>
      <c r="ET393" s="46"/>
      <c r="EU393" s="46"/>
      <c r="EV393" s="46"/>
      <c r="EW393" s="46"/>
      <c r="EX393" s="46"/>
      <c r="EY393" s="46"/>
      <c r="EZ393" s="46"/>
      <c r="FA393" s="46"/>
      <c r="FB393" s="46"/>
      <c r="FC393" s="46"/>
      <c r="FD393" s="46"/>
      <c r="FE393" s="46"/>
      <c r="FF393" s="46"/>
      <c r="FG393" s="46"/>
      <c r="FH393" s="46"/>
      <c r="FI393" s="46"/>
      <c r="FJ393" s="46"/>
      <c r="FK393" s="46"/>
      <c r="FL393" s="46"/>
      <c r="FM393" s="46"/>
      <c r="FN393" s="46"/>
      <c r="FO393" s="46"/>
      <c r="FP393" s="46"/>
      <c r="FQ393" s="46"/>
      <c r="FR393" s="46"/>
      <c r="FS393" s="46"/>
      <c r="FT393" s="46"/>
      <c r="FU393" s="46"/>
      <c r="FV393" s="46"/>
      <c r="FW393" s="46"/>
      <c r="FX393" s="46"/>
      <c r="FY393" s="46"/>
      <c r="FZ393" s="46"/>
      <c r="GA393" s="46"/>
      <c r="GB393" s="46"/>
      <c r="GC393" s="46"/>
      <c r="GD393" s="46"/>
      <c r="GE393" s="46"/>
      <c r="GF393" s="46"/>
      <c r="GG393" s="46"/>
      <c r="GH393" s="46"/>
      <c r="GI393" s="46"/>
      <c r="GJ393" s="46"/>
      <c r="GK393" s="46"/>
      <c r="GL393" s="46"/>
      <c r="GM393" s="46"/>
      <c r="GN393" s="46"/>
      <c r="GO393" s="46"/>
      <c r="GP393" s="46"/>
    </row>
    <row r="394" spans="1:198" ht="15" x14ac:dyDescent="0.2">
      <c r="A394" s="61" t="s">
        <v>64</v>
      </c>
      <c r="B394" s="68" t="s">
        <v>74</v>
      </c>
      <c r="C394" s="63">
        <v>795000</v>
      </c>
      <c r="D394" s="62">
        <v>78617550</v>
      </c>
      <c r="E394" s="16">
        <f>7453874.3-877604.31</f>
        <v>6576269.9900000002</v>
      </c>
      <c r="F394" s="31">
        <v>2051031053</v>
      </c>
      <c r="G394" s="46"/>
      <c r="H394" s="47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46"/>
      <c r="DP394" s="46"/>
      <c r="DQ394" s="46"/>
      <c r="DR394" s="46"/>
      <c r="DS394" s="46"/>
      <c r="DT394" s="46"/>
      <c r="DU394" s="46"/>
      <c r="DV394" s="46"/>
      <c r="DW394" s="46"/>
      <c r="DX394" s="46"/>
      <c r="DY394" s="46"/>
      <c r="DZ394" s="46"/>
      <c r="EA394" s="46"/>
      <c r="EB394" s="46"/>
      <c r="EC394" s="46"/>
      <c r="ED394" s="46"/>
      <c r="EE394" s="46"/>
      <c r="EF394" s="46"/>
      <c r="EG394" s="46"/>
      <c r="EH394" s="46"/>
      <c r="EI394" s="46"/>
      <c r="EJ394" s="46"/>
      <c r="EK394" s="46"/>
      <c r="EL394" s="46"/>
      <c r="EM394" s="46"/>
      <c r="EN394" s="46"/>
      <c r="EO394" s="46"/>
      <c r="EP394" s="46"/>
      <c r="EQ394" s="46"/>
      <c r="ER394" s="46"/>
      <c r="ES394" s="46"/>
      <c r="ET394" s="46"/>
      <c r="EU394" s="46"/>
      <c r="EV394" s="46"/>
      <c r="EW394" s="46"/>
      <c r="EX394" s="46"/>
      <c r="EY394" s="46"/>
      <c r="EZ394" s="46"/>
      <c r="FA394" s="46"/>
      <c r="FB394" s="46"/>
      <c r="FC394" s="46"/>
      <c r="FD394" s="46"/>
      <c r="FE394" s="46"/>
      <c r="FF394" s="46"/>
      <c r="FG394" s="46"/>
      <c r="FH394" s="46"/>
      <c r="FI394" s="46"/>
      <c r="FJ394" s="46"/>
      <c r="FK394" s="46"/>
      <c r="FL394" s="46"/>
      <c r="FM394" s="46"/>
      <c r="FN394" s="46"/>
      <c r="FO394" s="46"/>
      <c r="FP394" s="46"/>
      <c r="FQ394" s="46"/>
      <c r="FR394" s="46"/>
      <c r="FS394" s="46"/>
      <c r="FT394" s="46"/>
      <c r="FU394" s="46"/>
      <c r="FV394" s="46"/>
      <c r="FW394" s="46"/>
      <c r="FX394" s="46"/>
      <c r="FY394" s="46"/>
      <c r="FZ394" s="46"/>
      <c r="GA394" s="46"/>
      <c r="GB394" s="46"/>
      <c r="GC394" s="46"/>
      <c r="GD394" s="46"/>
      <c r="GE394" s="46"/>
      <c r="GF394" s="46"/>
      <c r="GG394" s="46"/>
      <c r="GH394" s="46"/>
      <c r="GI394" s="46"/>
      <c r="GJ394" s="46"/>
      <c r="GK394" s="46"/>
      <c r="GL394" s="46"/>
      <c r="GM394" s="46"/>
      <c r="GN394" s="46"/>
      <c r="GO394" s="46"/>
      <c r="GP394" s="46"/>
    </row>
    <row r="395" spans="1:198" ht="15" x14ac:dyDescent="0.2">
      <c r="A395" s="61" t="s">
        <v>167</v>
      </c>
      <c r="B395" s="68" t="s">
        <v>74</v>
      </c>
      <c r="C395" s="63">
        <v>18195341.039999999</v>
      </c>
      <c r="D395" s="62">
        <v>1799337275.4456</v>
      </c>
      <c r="E395" s="16"/>
      <c r="F395" s="31"/>
      <c r="G395" s="46"/>
      <c r="H395" s="47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  <c r="EF395" s="46"/>
      <c r="EG395" s="46"/>
      <c r="EH395" s="46"/>
      <c r="EI395" s="46"/>
      <c r="EJ395" s="46"/>
      <c r="EK395" s="46"/>
      <c r="EL395" s="46"/>
      <c r="EM395" s="46"/>
      <c r="EN395" s="46"/>
      <c r="EO395" s="46"/>
      <c r="EP395" s="46"/>
      <c r="EQ395" s="46"/>
      <c r="ER395" s="46"/>
      <c r="ES395" s="46"/>
      <c r="ET395" s="46"/>
      <c r="EU395" s="46"/>
      <c r="EV395" s="46"/>
      <c r="EW395" s="46"/>
      <c r="EX395" s="46"/>
      <c r="EY395" s="46"/>
      <c r="EZ395" s="46"/>
      <c r="FA395" s="46"/>
      <c r="FB395" s="46"/>
      <c r="FC395" s="46"/>
      <c r="FD395" s="46"/>
      <c r="FE395" s="46"/>
      <c r="FF395" s="46"/>
      <c r="FG395" s="46"/>
      <c r="FH395" s="46"/>
      <c r="FI395" s="46"/>
      <c r="FJ395" s="46"/>
      <c r="FK395" s="46"/>
      <c r="FL395" s="46"/>
      <c r="FM395" s="46"/>
      <c r="FN395" s="46"/>
      <c r="FO395" s="46"/>
      <c r="FP395" s="46"/>
      <c r="FQ395" s="46"/>
      <c r="FR395" s="46"/>
      <c r="FS395" s="46"/>
      <c r="FT395" s="46"/>
      <c r="FU395" s="46"/>
      <c r="FV395" s="46"/>
      <c r="FW395" s="46"/>
      <c r="FX395" s="46"/>
      <c r="FY395" s="46"/>
      <c r="FZ395" s="46"/>
      <c r="GA395" s="46"/>
      <c r="GB395" s="46"/>
      <c r="GC395" s="46"/>
      <c r="GD395" s="46"/>
      <c r="GE395" s="46"/>
      <c r="GF395" s="46"/>
      <c r="GG395" s="46"/>
      <c r="GH395" s="46"/>
      <c r="GI395" s="46"/>
      <c r="GJ395" s="46"/>
      <c r="GK395" s="46"/>
      <c r="GL395" s="46"/>
      <c r="GM395" s="46"/>
      <c r="GN395" s="46"/>
      <c r="GO395" s="46"/>
      <c r="GP395" s="46"/>
    </row>
    <row r="396" spans="1:198" ht="15" x14ac:dyDescent="0.2">
      <c r="A396" s="61" t="s">
        <v>288</v>
      </c>
      <c r="B396" s="68" t="s">
        <v>74</v>
      </c>
      <c r="C396" s="63">
        <v>9963971</v>
      </c>
      <c r="D396" s="62">
        <v>985337092.19000006</v>
      </c>
      <c r="E396" s="16"/>
      <c r="F396" s="31"/>
      <c r="G396" s="46"/>
      <c r="H396" s="47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  <c r="CM396" s="46"/>
      <c r="CN396" s="46"/>
      <c r="CO396" s="46"/>
      <c r="CP396" s="46"/>
      <c r="CQ396" s="46"/>
      <c r="CR396" s="46"/>
      <c r="CS396" s="46"/>
      <c r="CT396" s="46"/>
      <c r="CU396" s="46"/>
      <c r="CV396" s="46"/>
      <c r="CW396" s="46"/>
      <c r="CX396" s="46"/>
      <c r="CY396" s="46"/>
      <c r="CZ396" s="46"/>
      <c r="DA396" s="46"/>
      <c r="DB396" s="46"/>
      <c r="DC396" s="46"/>
      <c r="DD396" s="46"/>
      <c r="DE396" s="46"/>
      <c r="DF396" s="46"/>
      <c r="DG396" s="46"/>
      <c r="DH396" s="46"/>
      <c r="DI396" s="46"/>
      <c r="DJ396" s="46"/>
      <c r="DK396" s="46"/>
      <c r="DL396" s="46"/>
      <c r="DM396" s="46"/>
      <c r="DN396" s="46"/>
      <c r="DO396" s="46"/>
      <c r="DP396" s="46"/>
      <c r="DQ396" s="46"/>
      <c r="DR396" s="46"/>
      <c r="DS396" s="46"/>
      <c r="DT396" s="46"/>
      <c r="DU396" s="46"/>
      <c r="DV396" s="46"/>
      <c r="DW396" s="46"/>
      <c r="DX396" s="46"/>
      <c r="DY396" s="46"/>
      <c r="DZ396" s="46"/>
      <c r="EA396" s="46"/>
      <c r="EB396" s="46"/>
      <c r="EC396" s="46"/>
      <c r="ED396" s="46"/>
      <c r="EE396" s="46"/>
      <c r="EF396" s="46"/>
      <c r="EG396" s="46"/>
      <c r="EH396" s="46"/>
      <c r="EI396" s="46"/>
      <c r="EJ396" s="46"/>
      <c r="EK396" s="46"/>
      <c r="EL396" s="46"/>
      <c r="EM396" s="46"/>
      <c r="EN396" s="46"/>
      <c r="EO396" s="46"/>
      <c r="EP396" s="46"/>
      <c r="EQ396" s="46"/>
      <c r="ER396" s="46"/>
      <c r="ES396" s="46"/>
      <c r="ET396" s="46"/>
      <c r="EU396" s="46"/>
      <c r="EV396" s="46"/>
      <c r="EW396" s="46"/>
      <c r="EX396" s="46"/>
      <c r="EY396" s="46"/>
      <c r="EZ396" s="46"/>
      <c r="FA396" s="46"/>
      <c r="FB396" s="46"/>
      <c r="FC396" s="46"/>
      <c r="FD396" s="46"/>
      <c r="FE396" s="46"/>
      <c r="FF396" s="46"/>
      <c r="FG396" s="46"/>
      <c r="FH396" s="46"/>
      <c r="FI396" s="46"/>
      <c r="FJ396" s="46"/>
      <c r="FK396" s="46"/>
      <c r="FL396" s="46"/>
      <c r="FM396" s="46"/>
      <c r="FN396" s="46"/>
      <c r="FO396" s="46"/>
      <c r="FP396" s="46"/>
      <c r="FQ396" s="46"/>
      <c r="FR396" s="46"/>
      <c r="FS396" s="46"/>
      <c r="FT396" s="46"/>
      <c r="FU396" s="46"/>
      <c r="FV396" s="46"/>
      <c r="FW396" s="46"/>
      <c r="FX396" s="46"/>
      <c r="FY396" s="46"/>
      <c r="FZ396" s="46"/>
      <c r="GA396" s="46"/>
      <c r="GB396" s="46"/>
      <c r="GC396" s="46"/>
      <c r="GD396" s="46"/>
      <c r="GE396" s="46"/>
      <c r="GF396" s="46"/>
      <c r="GG396" s="46"/>
      <c r="GH396" s="46"/>
      <c r="GI396" s="46"/>
      <c r="GJ396" s="46"/>
      <c r="GK396" s="46"/>
      <c r="GL396" s="46"/>
      <c r="GM396" s="46"/>
      <c r="GN396" s="46"/>
      <c r="GO396" s="46"/>
      <c r="GP396" s="46"/>
    </row>
    <row r="397" spans="1:198" ht="15" x14ac:dyDescent="0.2">
      <c r="A397" s="61" t="s">
        <v>56</v>
      </c>
      <c r="B397" s="68" t="s">
        <v>74</v>
      </c>
      <c r="C397" s="63">
        <v>28087500</v>
      </c>
      <c r="D397" s="62">
        <v>2777572875</v>
      </c>
      <c r="E397" s="21">
        <v>75000000</v>
      </c>
      <c r="F397" s="36">
        <v>2051031060</v>
      </c>
      <c r="G397" s="46"/>
      <c r="H397" s="47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  <c r="EF397" s="46"/>
      <c r="EG397" s="46"/>
      <c r="EH397" s="46"/>
      <c r="EI397" s="46"/>
      <c r="EJ397" s="46"/>
      <c r="EK397" s="46"/>
      <c r="EL397" s="46"/>
      <c r="EM397" s="46"/>
      <c r="EN397" s="46"/>
      <c r="EO397" s="46"/>
      <c r="EP397" s="46"/>
      <c r="EQ397" s="46"/>
      <c r="ER397" s="46"/>
      <c r="ES397" s="46"/>
      <c r="ET397" s="46"/>
      <c r="EU397" s="46"/>
      <c r="EV397" s="46"/>
      <c r="EW397" s="46"/>
      <c r="EX397" s="46"/>
      <c r="EY397" s="46"/>
      <c r="EZ397" s="46"/>
      <c r="FA397" s="46"/>
      <c r="FB397" s="46"/>
      <c r="FC397" s="46"/>
      <c r="FD397" s="46"/>
      <c r="FE397" s="46"/>
      <c r="FF397" s="46"/>
      <c r="FG397" s="46"/>
      <c r="FH397" s="46"/>
      <c r="FI397" s="46"/>
      <c r="FJ397" s="46"/>
      <c r="FK397" s="46"/>
      <c r="FL397" s="46"/>
      <c r="FM397" s="46"/>
      <c r="FN397" s="46"/>
      <c r="FO397" s="46"/>
      <c r="FP397" s="46"/>
      <c r="FQ397" s="46"/>
      <c r="FR397" s="46"/>
      <c r="FS397" s="46"/>
      <c r="FT397" s="46"/>
      <c r="FU397" s="46"/>
      <c r="FV397" s="46"/>
      <c r="FW397" s="46"/>
      <c r="FX397" s="46"/>
      <c r="FY397" s="46"/>
      <c r="FZ397" s="46"/>
      <c r="GA397" s="46"/>
      <c r="GB397" s="46"/>
      <c r="GC397" s="46"/>
      <c r="GD397" s="46"/>
      <c r="GE397" s="46"/>
      <c r="GF397" s="46"/>
      <c r="GG397" s="46"/>
      <c r="GH397" s="46"/>
      <c r="GI397" s="46"/>
      <c r="GJ397" s="46"/>
      <c r="GK397" s="46"/>
      <c r="GL397" s="46"/>
      <c r="GM397" s="46"/>
      <c r="GN397" s="46"/>
      <c r="GO397" s="46"/>
      <c r="GP397" s="46"/>
    </row>
    <row r="398" spans="1:198" ht="15" x14ac:dyDescent="0.2">
      <c r="A398" s="61" t="s">
        <v>271</v>
      </c>
      <c r="B398" s="68" t="s">
        <v>57</v>
      </c>
      <c r="C398" s="63">
        <v>20009966.280000001</v>
      </c>
      <c r="D398" s="62">
        <v>1978785565.4292002</v>
      </c>
      <c r="E398" s="16">
        <f>4958956.14-413234.78</f>
        <v>4545721.3599999994</v>
      </c>
      <c r="F398" s="32" t="s">
        <v>73</v>
      </c>
      <c r="G398" s="173"/>
      <c r="H398" s="47" t="s">
        <v>73</v>
      </c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  <c r="CM398" s="46"/>
      <c r="CN398" s="46"/>
      <c r="CO398" s="46"/>
      <c r="CP398" s="46"/>
      <c r="CQ398" s="46"/>
      <c r="CR398" s="46"/>
      <c r="CS398" s="46"/>
      <c r="CT398" s="46"/>
      <c r="CU398" s="46"/>
      <c r="CV398" s="46"/>
      <c r="CW398" s="46"/>
      <c r="CX398" s="46"/>
      <c r="CY398" s="46"/>
      <c r="CZ398" s="46"/>
      <c r="DA398" s="46"/>
      <c r="DB398" s="46"/>
      <c r="DC398" s="46"/>
      <c r="DD398" s="46"/>
      <c r="DE398" s="46"/>
      <c r="DF398" s="46"/>
      <c r="DG398" s="46"/>
      <c r="DH398" s="46"/>
      <c r="DI398" s="46"/>
      <c r="DJ398" s="46"/>
      <c r="DK398" s="46"/>
      <c r="DL398" s="46"/>
      <c r="DM398" s="46"/>
      <c r="DN398" s="46"/>
      <c r="DO398" s="46"/>
      <c r="DP398" s="46"/>
      <c r="DQ398" s="46"/>
      <c r="DR398" s="46"/>
      <c r="DS398" s="46"/>
      <c r="DT398" s="46"/>
      <c r="DU398" s="46"/>
      <c r="DV398" s="46"/>
      <c r="DW398" s="46"/>
      <c r="DX398" s="46"/>
      <c r="DY398" s="46"/>
      <c r="DZ398" s="46"/>
      <c r="EA398" s="46"/>
      <c r="EB398" s="46"/>
      <c r="EC398" s="46"/>
      <c r="ED398" s="46"/>
      <c r="EE398" s="46"/>
      <c r="EF398" s="46"/>
      <c r="EG398" s="46"/>
      <c r="EH398" s="46"/>
      <c r="EI398" s="46"/>
      <c r="EJ398" s="46"/>
      <c r="EK398" s="46"/>
      <c r="EL398" s="46"/>
      <c r="EM398" s="46"/>
      <c r="EN398" s="46"/>
      <c r="EO398" s="46"/>
      <c r="EP398" s="46"/>
      <c r="EQ398" s="46"/>
      <c r="ER398" s="46"/>
      <c r="ES398" s="46"/>
      <c r="ET398" s="46"/>
      <c r="EU398" s="46"/>
      <c r="EV398" s="46"/>
      <c r="EW398" s="46"/>
      <c r="EX398" s="46"/>
      <c r="EY398" s="46"/>
      <c r="EZ398" s="46"/>
      <c r="FA398" s="46"/>
      <c r="FB398" s="46"/>
      <c r="FC398" s="46"/>
      <c r="FD398" s="46"/>
      <c r="FE398" s="46"/>
      <c r="FF398" s="46"/>
      <c r="FG398" s="46"/>
      <c r="FH398" s="46"/>
      <c r="FI398" s="46"/>
      <c r="FJ398" s="46"/>
      <c r="FK398" s="46"/>
      <c r="FL398" s="46"/>
      <c r="FM398" s="46"/>
      <c r="FN398" s="46"/>
      <c r="FO398" s="46"/>
      <c r="FP398" s="46"/>
      <c r="FQ398" s="46"/>
      <c r="FR398" s="46"/>
      <c r="FS398" s="46"/>
      <c r="FT398" s="46"/>
      <c r="FU398" s="46"/>
      <c r="FV398" s="46"/>
      <c r="FW398" s="46"/>
      <c r="FX398" s="46"/>
      <c r="FY398" s="46"/>
      <c r="FZ398" s="46"/>
      <c r="GA398" s="46"/>
      <c r="GB398" s="46"/>
      <c r="GC398" s="46"/>
      <c r="GD398" s="46"/>
      <c r="GE398" s="46"/>
      <c r="GF398" s="46"/>
      <c r="GG398" s="46"/>
      <c r="GH398" s="46"/>
      <c r="GI398" s="46"/>
      <c r="GJ398" s="46"/>
      <c r="GK398" s="46"/>
      <c r="GL398" s="46"/>
      <c r="GM398" s="46"/>
      <c r="GN398" s="46"/>
      <c r="GO398" s="46"/>
      <c r="GP398" s="46"/>
    </row>
    <row r="399" spans="1:198" ht="15" x14ac:dyDescent="0.2">
      <c r="A399" s="61" t="s">
        <v>133</v>
      </c>
      <c r="B399" s="68" t="s">
        <v>57</v>
      </c>
      <c r="C399" s="63">
        <v>34342500</v>
      </c>
      <c r="D399" s="62">
        <v>3396129825</v>
      </c>
      <c r="E399" s="16">
        <f>14091860.93-1761267.25</f>
        <v>12330593.68</v>
      </c>
      <c r="F399" s="31">
        <v>205131062</v>
      </c>
      <c r="G399" s="46"/>
      <c r="H399" s="47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  <c r="EO399" s="46"/>
      <c r="EP399" s="46"/>
      <c r="EQ399" s="46"/>
      <c r="ER399" s="46"/>
      <c r="ES399" s="46"/>
      <c r="ET399" s="46"/>
      <c r="EU399" s="46"/>
      <c r="EV399" s="46"/>
      <c r="EW399" s="46"/>
      <c r="EX399" s="46"/>
      <c r="EY399" s="46"/>
      <c r="EZ399" s="46"/>
      <c r="FA399" s="46"/>
      <c r="FB399" s="46"/>
      <c r="FC399" s="46"/>
      <c r="FD399" s="46"/>
      <c r="FE399" s="46"/>
      <c r="FF399" s="46"/>
      <c r="FG399" s="46"/>
      <c r="FH399" s="46"/>
      <c r="FI399" s="46"/>
      <c r="FJ399" s="46"/>
      <c r="FK399" s="46"/>
      <c r="FL399" s="46"/>
      <c r="FM399" s="46"/>
      <c r="FN399" s="46"/>
      <c r="FO399" s="46"/>
      <c r="FP399" s="46"/>
      <c r="FQ399" s="46"/>
      <c r="FR399" s="46"/>
      <c r="FS399" s="46"/>
      <c r="FT399" s="46"/>
      <c r="FU399" s="46"/>
      <c r="FV399" s="46"/>
      <c r="FW399" s="46"/>
      <c r="FX399" s="46"/>
      <c r="FY399" s="46"/>
      <c r="FZ399" s="46"/>
      <c r="GA399" s="46"/>
      <c r="GB399" s="46"/>
      <c r="GC399" s="46"/>
      <c r="GD399" s="46"/>
      <c r="GE399" s="46"/>
      <c r="GF399" s="46"/>
      <c r="GG399" s="46"/>
      <c r="GH399" s="46"/>
      <c r="GI399" s="46"/>
      <c r="GJ399" s="46"/>
      <c r="GK399" s="46"/>
      <c r="GL399" s="46"/>
      <c r="GM399" s="46"/>
      <c r="GN399" s="46"/>
      <c r="GO399" s="46"/>
      <c r="GP399" s="46"/>
    </row>
    <row r="400" spans="1:198" ht="15" x14ac:dyDescent="0.2">
      <c r="A400" s="61" t="s">
        <v>134</v>
      </c>
      <c r="B400" s="68" t="s">
        <v>57</v>
      </c>
      <c r="C400" s="63">
        <v>8153076.1100000003</v>
      </c>
      <c r="D400" s="62">
        <v>806257696.51789999</v>
      </c>
      <c r="E400" s="16">
        <f>8299978.5-699567.69</f>
        <v>7600410.8100000005</v>
      </c>
      <c r="F400" s="32" t="s">
        <v>73</v>
      </c>
      <c r="G400" s="46"/>
      <c r="H400" s="47" t="s">
        <v>73</v>
      </c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  <c r="EF400" s="46"/>
      <c r="EG400" s="46"/>
      <c r="EH400" s="46"/>
      <c r="EI400" s="46"/>
      <c r="EJ400" s="46"/>
      <c r="EK400" s="46"/>
      <c r="EL400" s="46"/>
      <c r="EM400" s="46"/>
      <c r="EN400" s="46"/>
      <c r="EO400" s="46"/>
      <c r="EP400" s="46"/>
      <c r="EQ400" s="46"/>
      <c r="ER400" s="46"/>
      <c r="ES400" s="46"/>
      <c r="ET400" s="46"/>
      <c r="EU400" s="46"/>
      <c r="EV400" s="46"/>
      <c r="EW400" s="46"/>
      <c r="EX400" s="46"/>
      <c r="EY400" s="46"/>
      <c r="EZ400" s="46"/>
      <c r="FA400" s="46"/>
      <c r="FB400" s="46"/>
      <c r="FC400" s="46"/>
      <c r="FD400" s="46"/>
      <c r="FE400" s="46"/>
      <c r="FF400" s="46"/>
      <c r="FG400" s="46"/>
      <c r="FH400" s="46"/>
      <c r="FI400" s="46"/>
      <c r="FJ400" s="46"/>
      <c r="FK400" s="46"/>
      <c r="FL400" s="46"/>
      <c r="FM400" s="46"/>
      <c r="FN400" s="46"/>
      <c r="FO400" s="46"/>
      <c r="FP400" s="46"/>
      <c r="FQ400" s="46"/>
      <c r="FR400" s="46"/>
      <c r="FS400" s="46"/>
      <c r="FT400" s="46"/>
      <c r="FU400" s="46"/>
      <c r="FV400" s="46"/>
      <c r="FW400" s="46"/>
      <c r="FX400" s="46"/>
      <c r="FY400" s="46"/>
      <c r="FZ400" s="46"/>
      <c r="GA400" s="46"/>
      <c r="GB400" s="46"/>
      <c r="GC400" s="46"/>
      <c r="GD400" s="46"/>
      <c r="GE400" s="46"/>
      <c r="GF400" s="46"/>
      <c r="GG400" s="46"/>
      <c r="GH400" s="46"/>
      <c r="GI400" s="46"/>
      <c r="GJ400" s="46"/>
      <c r="GK400" s="46"/>
      <c r="GL400" s="46"/>
      <c r="GM400" s="46"/>
      <c r="GN400" s="46"/>
      <c r="GO400" s="46"/>
      <c r="GP400" s="46"/>
    </row>
    <row r="401" spans="1:198" ht="15" x14ac:dyDescent="0.2">
      <c r="A401" s="106" t="s">
        <v>289</v>
      </c>
      <c r="B401" s="68" t="s">
        <v>57</v>
      </c>
      <c r="C401" s="63">
        <v>6560964</v>
      </c>
      <c r="D401" s="62">
        <v>648813729.96000004</v>
      </c>
      <c r="E401" s="16"/>
      <c r="F401" s="31"/>
      <c r="G401" s="46"/>
      <c r="H401" s="47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  <c r="EF401" s="46"/>
      <c r="EG401" s="46"/>
      <c r="EH401" s="46"/>
      <c r="EI401" s="46"/>
      <c r="EJ401" s="46"/>
      <c r="EK401" s="46"/>
      <c r="EL401" s="46"/>
      <c r="EM401" s="46"/>
      <c r="EN401" s="46"/>
      <c r="EO401" s="46"/>
      <c r="EP401" s="46"/>
      <c r="EQ401" s="46"/>
      <c r="ER401" s="46"/>
      <c r="ES401" s="46"/>
      <c r="ET401" s="46"/>
      <c r="EU401" s="46"/>
      <c r="EV401" s="46"/>
      <c r="EW401" s="46"/>
      <c r="EX401" s="46"/>
      <c r="EY401" s="46"/>
      <c r="EZ401" s="46"/>
      <c r="FA401" s="46"/>
      <c r="FB401" s="46"/>
      <c r="FC401" s="46"/>
      <c r="FD401" s="46"/>
      <c r="FE401" s="46"/>
      <c r="FF401" s="46"/>
      <c r="FG401" s="46"/>
      <c r="FH401" s="46"/>
      <c r="FI401" s="46"/>
      <c r="FJ401" s="46"/>
      <c r="FK401" s="46"/>
      <c r="FL401" s="46"/>
      <c r="FM401" s="46"/>
      <c r="FN401" s="46"/>
      <c r="FO401" s="46"/>
      <c r="FP401" s="46"/>
      <c r="FQ401" s="46"/>
      <c r="FR401" s="46"/>
      <c r="FS401" s="46"/>
      <c r="FT401" s="46"/>
      <c r="FU401" s="46"/>
      <c r="FV401" s="46"/>
      <c r="FW401" s="46"/>
      <c r="FX401" s="46"/>
      <c r="FY401" s="46"/>
      <c r="FZ401" s="46"/>
      <c r="GA401" s="46"/>
      <c r="GB401" s="46"/>
      <c r="GC401" s="46"/>
      <c r="GD401" s="46"/>
      <c r="GE401" s="46"/>
      <c r="GF401" s="46"/>
      <c r="GG401" s="46"/>
      <c r="GH401" s="46"/>
      <c r="GI401" s="46"/>
      <c r="GJ401" s="46"/>
      <c r="GK401" s="46"/>
      <c r="GL401" s="46"/>
      <c r="GM401" s="46"/>
      <c r="GN401" s="46"/>
      <c r="GO401" s="46"/>
      <c r="GP401" s="46"/>
    </row>
    <row r="402" spans="1:198" ht="15" x14ac:dyDescent="0.2">
      <c r="A402" s="61" t="s">
        <v>135</v>
      </c>
      <c r="B402" s="68" t="s">
        <v>57</v>
      </c>
      <c r="C402" s="63">
        <v>5350152.82</v>
      </c>
      <c r="D402" s="62">
        <v>529076612.36980003</v>
      </c>
      <c r="E402" s="16">
        <v>75000000</v>
      </c>
      <c r="F402" s="32" t="s">
        <v>73</v>
      </c>
      <c r="G402" s="46"/>
      <c r="H402" s="47" t="s">
        <v>73</v>
      </c>
      <c r="I402" s="46" t="s">
        <v>73</v>
      </c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  <c r="EO402" s="46"/>
      <c r="EP402" s="46"/>
      <c r="EQ402" s="46"/>
      <c r="ER402" s="46"/>
      <c r="ES402" s="46"/>
      <c r="ET402" s="46"/>
      <c r="EU402" s="46"/>
      <c r="EV402" s="46"/>
      <c r="EW402" s="46"/>
      <c r="EX402" s="46"/>
      <c r="EY402" s="46"/>
      <c r="EZ402" s="46"/>
      <c r="FA402" s="46"/>
      <c r="FB402" s="46"/>
      <c r="FC402" s="46"/>
      <c r="FD402" s="46"/>
      <c r="FE402" s="46"/>
      <c r="FF402" s="46"/>
      <c r="FG402" s="46"/>
      <c r="FH402" s="46"/>
      <c r="FI402" s="46"/>
      <c r="FJ402" s="46"/>
      <c r="FK402" s="46"/>
      <c r="FL402" s="46"/>
      <c r="FM402" s="46"/>
      <c r="FN402" s="46"/>
      <c r="FO402" s="46"/>
      <c r="FP402" s="46"/>
      <c r="FQ402" s="46"/>
      <c r="FR402" s="46"/>
      <c r="FS402" s="46"/>
      <c r="FT402" s="46"/>
      <c r="FU402" s="46"/>
      <c r="FV402" s="46"/>
      <c r="FW402" s="46"/>
      <c r="FX402" s="46"/>
      <c r="FY402" s="46"/>
      <c r="FZ402" s="46"/>
      <c r="GA402" s="46"/>
      <c r="GB402" s="46"/>
      <c r="GC402" s="46"/>
      <c r="GD402" s="46"/>
      <c r="GE402" s="46"/>
      <c r="GF402" s="46"/>
      <c r="GG402" s="46"/>
      <c r="GH402" s="46"/>
      <c r="GI402" s="46"/>
      <c r="GJ402" s="46"/>
      <c r="GK402" s="46"/>
      <c r="GL402" s="46"/>
      <c r="GM402" s="46"/>
      <c r="GN402" s="46"/>
      <c r="GO402" s="46"/>
      <c r="GP402" s="46"/>
    </row>
    <row r="403" spans="1:198" ht="15" x14ac:dyDescent="0.2">
      <c r="A403" s="61" t="s">
        <v>136</v>
      </c>
      <c r="B403" s="68" t="s">
        <v>74</v>
      </c>
      <c r="C403" s="63">
        <v>41250000</v>
      </c>
      <c r="D403" s="62">
        <v>4079212500</v>
      </c>
      <c r="E403" s="23" t="s">
        <v>73</v>
      </c>
      <c r="F403" s="31">
        <v>2051031065</v>
      </c>
      <c r="G403" s="46"/>
      <c r="H403" s="47" t="s">
        <v>73</v>
      </c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  <c r="CZ403" s="46"/>
      <c r="DA403" s="46"/>
      <c r="DB403" s="46"/>
      <c r="DC403" s="46"/>
      <c r="DD403" s="46"/>
      <c r="DE403" s="46"/>
      <c r="DF403" s="46"/>
      <c r="DG403" s="46"/>
      <c r="DH403" s="46"/>
      <c r="DI403" s="46"/>
      <c r="DJ403" s="46"/>
      <c r="DK403" s="46"/>
      <c r="DL403" s="46"/>
      <c r="DM403" s="46"/>
      <c r="DN403" s="46"/>
      <c r="DO403" s="46"/>
      <c r="DP403" s="46"/>
      <c r="DQ403" s="46"/>
      <c r="DR403" s="46"/>
      <c r="DS403" s="46"/>
      <c r="DT403" s="46"/>
      <c r="DU403" s="46"/>
      <c r="DV403" s="46"/>
      <c r="DW403" s="46"/>
      <c r="DX403" s="46"/>
      <c r="DY403" s="46"/>
      <c r="DZ403" s="46"/>
      <c r="EA403" s="46"/>
      <c r="EB403" s="46"/>
      <c r="EC403" s="46"/>
      <c r="ED403" s="46"/>
      <c r="EE403" s="46"/>
      <c r="EF403" s="46"/>
      <c r="EG403" s="46"/>
      <c r="EH403" s="46"/>
      <c r="EI403" s="46"/>
      <c r="EJ403" s="46"/>
      <c r="EK403" s="46"/>
      <c r="EL403" s="46"/>
      <c r="EM403" s="46"/>
      <c r="EN403" s="46"/>
      <c r="EO403" s="46"/>
      <c r="EP403" s="46"/>
      <c r="EQ403" s="46"/>
      <c r="ER403" s="46"/>
      <c r="ES403" s="46"/>
      <c r="ET403" s="46"/>
      <c r="EU403" s="46"/>
      <c r="EV403" s="46"/>
      <c r="EW403" s="46"/>
      <c r="EX403" s="46"/>
      <c r="EY403" s="46"/>
      <c r="EZ403" s="46"/>
      <c r="FA403" s="46"/>
      <c r="FB403" s="46"/>
      <c r="FC403" s="46"/>
      <c r="FD403" s="46"/>
      <c r="FE403" s="46"/>
      <c r="FF403" s="46"/>
      <c r="FG403" s="46"/>
      <c r="FH403" s="46"/>
      <c r="FI403" s="46"/>
      <c r="FJ403" s="46"/>
      <c r="FK403" s="46"/>
      <c r="FL403" s="46"/>
      <c r="FM403" s="46"/>
      <c r="FN403" s="46"/>
      <c r="FO403" s="46"/>
      <c r="FP403" s="46"/>
      <c r="FQ403" s="46"/>
      <c r="FR403" s="46"/>
      <c r="FS403" s="46"/>
      <c r="FT403" s="46"/>
      <c r="FU403" s="46"/>
      <c r="FV403" s="46"/>
      <c r="FW403" s="46"/>
      <c r="FX403" s="46"/>
      <c r="FY403" s="46"/>
      <c r="FZ403" s="46"/>
      <c r="GA403" s="46"/>
      <c r="GB403" s="46"/>
      <c r="GC403" s="46"/>
      <c r="GD403" s="46"/>
      <c r="GE403" s="46"/>
      <c r="GF403" s="46"/>
      <c r="GG403" s="46"/>
      <c r="GH403" s="46"/>
      <c r="GI403" s="46"/>
      <c r="GJ403" s="46"/>
      <c r="GK403" s="46"/>
      <c r="GL403" s="46"/>
      <c r="GM403" s="46"/>
      <c r="GN403" s="46"/>
      <c r="GO403" s="46"/>
      <c r="GP403" s="46"/>
    </row>
    <row r="404" spans="1:198" ht="15" x14ac:dyDescent="0.2">
      <c r="A404" s="61" t="s">
        <v>286</v>
      </c>
      <c r="B404" s="68" t="s">
        <v>74</v>
      </c>
      <c r="C404" s="63">
        <v>10742489</v>
      </c>
      <c r="D404" s="62">
        <v>1062324737.21</v>
      </c>
      <c r="E404" s="23" t="s">
        <v>73</v>
      </c>
      <c r="F404" s="31"/>
      <c r="G404" s="46"/>
      <c r="H404" s="47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  <c r="EO404" s="46"/>
      <c r="EP404" s="46"/>
      <c r="EQ404" s="46"/>
      <c r="ER404" s="46"/>
      <c r="ES404" s="46"/>
      <c r="ET404" s="46"/>
      <c r="EU404" s="46"/>
      <c r="EV404" s="46"/>
      <c r="EW404" s="46"/>
      <c r="EX404" s="46"/>
      <c r="EY404" s="46"/>
      <c r="EZ404" s="46"/>
      <c r="FA404" s="46"/>
      <c r="FB404" s="46"/>
      <c r="FC404" s="46"/>
      <c r="FD404" s="46"/>
      <c r="FE404" s="46"/>
      <c r="FF404" s="46"/>
      <c r="FG404" s="46"/>
      <c r="FH404" s="46"/>
      <c r="FI404" s="46"/>
      <c r="FJ404" s="46"/>
      <c r="FK404" s="46"/>
      <c r="FL404" s="46"/>
      <c r="FM404" s="46"/>
      <c r="FN404" s="46"/>
      <c r="FO404" s="46"/>
      <c r="FP404" s="46"/>
      <c r="FQ404" s="46"/>
      <c r="FR404" s="46"/>
      <c r="FS404" s="46"/>
      <c r="FT404" s="46"/>
      <c r="FU404" s="46"/>
      <c r="FV404" s="46"/>
      <c r="FW404" s="46"/>
      <c r="FX404" s="46"/>
      <c r="FY404" s="46"/>
      <c r="FZ404" s="46"/>
      <c r="GA404" s="46"/>
      <c r="GB404" s="46"/>
      <c r="GC404" s="46"/>
      <c r="GD404" s="46"/>
      <c r="GE404" s="46"/>
      <c r="GF404" s="46"/>
      <c r="GG404" s="46"/>
      <c r="GH404" s="46"/>
      <c r="GI404" s="46"/>
      <c r="GJ404" s="46"/>
      <c r="GK404" s="46"/>
      <c r="GL404" s="46"/>
      <c r="GM404" s="46"/>
      <c r="GN404" s="46"/>
      <c r="GO404" s="46"/>
      <c r="GP404" s="46"/>
    </row>
    <row r="405" spans="1:198" ht="15" x14ac:dyDescent="0.2">
      <c r="A405" s="61" t="s">
        <v>290</v>
      </c>
      <c r="B405" s="68" t="s">
        <v>74</v>
      </c>
      <c r="C405" s="63">
        <v>34434232.520000003</v>
      </c>
      <c r="D405" s="62">
        <v>3405201253.9028006</v>
      </c>
      <c r="E405" s="23"/>
      <c r="F405" s="31"/>
      <c r="G405" s="46"/>
      <c r="H405" s="47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  <c r="EF405" s="46"/>
      <c r="EG405" s="46"/>
      <c r="EH405" s="46"/>
      <c r="EI405" s="46"/>
      <c r="EJ405" s="46"/>
      <c r="EK405" s="46"/>
      <c r="EL405" s="46"/>
      <c r="EM405" s="46"/>
      <c r="EN405" s="46"/>
      <c r="EO405" s="46"/>
      <c r="EP405" s="46"/>
      <c r="EQ405" s="46"/>
      <c r="ER405" s="46"/>
      <c r="ES405" s="46"/>
      <c r="ET405" s="46"/>
      <c r="EU405" s="46"/>
      <c r="EV405" s="46"/>
      <c r="EW405" s="46"/>
      <c r="EX405" s="46"/>
      <c r="EY405" s="46"/>
      <c r="EZ405" s="46"/>
      <c r="FA405" s="46"/>
      <c r="FB405" s="46"/>
      <c r="FC405" s="46"/>
      <c r="FD405" s="46"/>
      <c r="FE405" s="46"/>
      <c r="FF405" s="46"/>
      <c r="FG405" s="46"/>
      <c r="FH405" s="46"/>
      <c r="FI405" s="46"/>
      <c r="FJ405" s="46"/>
      <c r="FK405" s="46"/>
      <c r="FL405" s="46"/>
      <c r="FM405" s="46"/>
      <c r="FN405" s="46"/>
      <c r="FO405" s="46"/>
      <c r="FP405" s="46"/>
      <c r="FQ405" s="46"/>
      <c r="FR405" s="46"/>
      <c r="FS405" s="46"/>
      <c r="FT405" s="46"/>
      <c r="FU405" s="46"/>
      <c r="FV405" s="46"/>
      <c r="FW405" s="46"/>
      <c r="FX405" s="46"/>
      <c r="FY405" s="46"/>
      <c r="FZ405" s="46"/>
      <c r="GA405" s="46"/>
      <c r="GB405" s="46"/>
      <c r="GC405" s="46"/>
      <c r="GD405" s="46"/>
      <c r="GE405" s="46"/>
      <c r="GF405" s="46"/>
      <c r="GG405" s="46"/>
      <c r="GH405" s="46"/>
      <c r="GI405" s="46"/>
      <c r="GJ405" s="46"/>
      <c r="GK405" s="46"/>
      <c r="GL405" s="46"/>
      <c r="GM405" s="46"/>
      <c r="GN405" s="46"/>
      <c r="GO405" s="46"/>
      <c r="GP405" s="46"/>
    </row>
    <row r="406" spans="1:198" ht="15" x14ac:dyDescent="0.2">
      <c r="A406" s="61" t="s">
        <v>287</v>
      </c>
      <c r="B406" s="68" t="s">
        <v>74</v>
      </c>
      <c r="C406" s="63">
        <v>8397220</v>
      </c>
      <c r="D406" s="62">
        <v>830401085.79999995</v>
      </c>
      <c r="E406" s="23"/>
      <c r="F406" s="31"/>
      <c r="G406" s="46"/>
      <c r="H406" s="47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  <c r="EF406" s="46"/>
      <c r="EG406" s="46"/>
      <c r="EH406" s="46"/>
      <c r="EI406" s="46"/>
      <c r="EJ406" s="46"/>
      <c r="EK406" s="46"/>
      <c r="EL406" s="46"/>
      <c r="EM406" s="46"/>
      <c r="EN406" s="46"/>
      <c r="EO406" s="46"/>
      <c r="EP406" s="46"/>
      <c r="EQ406" s="46"/>
      <c r="ER406" s="46"/>
      <c r="ES406" s="46"/>
      <c r="ET406" s="46"/>
      <c r="EU406" s="46"/>
      <c r="EV406" s="46"/>
      <c r="EW406" s="46"/>
      <c r="EX406" s="46"/>
      <c r="EY406" s="46"/>
      <c r="EZ406" s="46"/>
      <c r="FA406" s="46"/>
      <c r="FB406" s="46"/>
      <c r="FC406" s="46"/>
      <c r="FD406" s="46"/>
      <c r="FE406" s="46"/>
      <c r="FF406" s="46"/>
      <c r="FG406" s="46"/>
      <c r="FH406" s="46"/>
      <c r="FI406" s="46"/>
      <c r="FJ406" s="46"/>
      <c r="FK406" s="46"/>
      <c r="FL406" s="46"/>
      <c r="FM406" s="46"/>
      <c r="FN406" s="46"/>
      <c r="FO406" s="46"/>
      <c r="FP406" s="46"/>
      <c r="FQ406" s="46"/>
      <c r="FR406" s="46"/>
      <c r="FS406" s="46"/>
      <c r="FT406" s="46"/>
      <c r="FU406" s="46"/>
      <c r="FV406" s="46"/>
      <c r="FW406" s="46"/>
      <c r="FX406" s="46"/>
      <c r="FY406" s="46"/>
      <c r="FZ406" s="46"/>
      <c r="GA406" s="46"/>
      <c r="GB406" s="46"/>
      <c r="GC406" s="46"/>
      <c r="GD406" s="46"/>
      <c r="GE406" s="46"/>
      <c r="GF406" s="46"/>
      <c r="GG406" s="46"/>
      <c r="GH406" s="46"/>
      <c r="GI406" s="46"/>
      <c r="GJ406" s="46"/>
      <c r="GK406" s="46"/>
      <c r="GL406" s="46"/>
      <c r="GM406" s="46"/>
      <c r="GN406" s="46"/>
      <c r="GO406" s="46"/>
      <c r="GP406" s="46"/>
    </row>
    <row r="407" spans="1:198" ht="15" x14ac:dyDescent="0.2">
      <c r="A407" s="61" t="s">
        <v>327</v>
      </c>
      <c r="B407" s="68" t="s">
        <v>74</v>
      </c>
      <c r="C407" s="63">
        <v>100000000</v>
      </c>
      <c r="D407" s="62">
        <v>9889000000</v>
      </c>
      <c r="E407" s="23"/>
      <c r="F407" s="31"/>
      <c r="G407" s="46"/>
      <c r="H407" s="47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  <c r="EF407" s="46"/>
      <c r="EG407" s="46"/>
      <c r="EH407" s="46"/>
      <c r="EI407" s="46"/>
      <c r="EJ407" s="46"/>
      <c r="EK407" s="46"/>
      <c r="EL407" s="46"/>
      <c r="EM407" s="46"/>
      <c r="EN407" s="46"/>
      <c r="EO407" s="46"/>
      <c r="EP407" s="46"/>
      <c r="EQ407" s="46"/>
      <c r="ER407" s="46"/>
      <c r="ES407" s="46"/>
      <c r="ET407" s="46"/>
      <c r="EU407" s="46"/>
      <c r="EV407" s="46"/>
      <c r="EW407" s="46"/>
      <c r="EX407" s="46"/>
      <c r="EY407" s="46"/>
      <c r="EZ407" s="46"/>
      <c r="FA407" s="46"/>
      <c r="FB407" s="46"/>
      <c r="FC407" s="46"/>
      <c r="FD407" s="46"/>
      <c r="FE407" s="46"/>
      <c r="FF407" s="46"/>
      <c r="FG407" s="46"/>
      <c r="FH407" s="46"/>
      <c r="FI407" s="46"/>
      <c r="FJ407" s="46"/>
      <c r="FK407" s="46"/>
      <c r="FL407" s="46"/>
      <c r="FM407" s="46"/>
      <c r="FN407" s="46"/>
      <c r="FO407" s="46"/>
      <c r="FP407" s="46"/>
      <c r="FQ407" s="46"/>
      <c r="FR407" s="46"/>
      <c r="FS407" s="46"/>
      <c r="FT407" s="46"/>
      <c r="FU407" s="46"/>
      <c r="FV407" s="46"/>
      <c r="FW407" s="46"/>
      <c r="FX407" s="46"/>
      <c r="FY407" s="46"/>
      <c r="FZ407" s="46"/>
      <c r="GA407" s="46"/>
      <c r="GB407" s="46"/>
      <c r="GC407" s="46"/>
      <c r="GD407" s="46"/>
      <c r="GE407" s="46"/>
      <c r="GF407" s="46"/>
      <c r="GG407" s="46"/>
      <c r="GH407" s="46"/>
      <c r="GI407" s="46"/>
      <c r="GJ407" s="46"/>
      <c r="GK407" s="46"/>
      <c r="GL407" s="46"/>
      <c r="GM407" s="46"/>
      <c r="GN407" s="46"/>
      <c r="GO407" s="46"/>
      <c r="GP407" s="46"/>
    </row>
    <row r="408" spans="1:198" ht="15" x14ac:dyDescent="0.2">
      <c r="A408" s="61" t="s">
        <v>328</v>
      </c>
      <c r="B408" s="68" t="s">
        <v>74</v>
      </c>
      <c r="C408" s="63">
        <v>4433944.59</v>
      </c>
      <c r="D408" s="62">
        <v>438472780.50510001</v>
      </c>
      <c r="E408" s="23"/>
      <c r="F408" s="31"/>
      <c r="G408" s="46"/>
      <c r="H408" s="47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  <c r="CM408" s="46"/>
      <c r="CN408" s="46"/>
      <c r="CO408" s="46"/>
      <c r="CP408" s="46"/>
      <c r="CQ408" s="46"/>
      <c r="CR408" s="46"/>
      <c r="CS408" s="46"/>
      <c r="CT408" s="46"/>
      <c r="CU408" s="46"/>
      <c r="CV408" s="46"/>
      <c r="CW408" s="46"/>
      <c r="CX408" s="46"/>
      <c r="CY408" s="46"/>
      <c r="CZ408" s="46"/>
      <c r="DA408" s="46"/>
      <c r="DB408" s="46"/>
      <c r="DC408" s="46"/>
      <c r="DD408" s="46"/>
      <c r="DE408" s="46"/>
      <c r="DF408" s="46"/>
      <c r="DG408" s="46"/>
      <c r="DH408" s="46"/>
      <c r="DI408" s="46"/>
      <c r="DJ408" s="46"/>
      <c r="DK408" s="46"/>
      <c r="DL408" s="46"/>
      <c r="DM408" s="46"/>
      <c r="DN408" s="46"/>
      <c r="DO408" s="46"/>
      <c r="DP408" s="46"/>
      <c r="DQ408" s="46"/>
      <c r="DR408" s="46"/>
      <c r="DS408" s="46"/>
      <c r="DT408" s="46"/>
      <c r="DU408" s="46"/>
      <c r="DV408" s="46"/>
      <c r="DW408" s="46"/>
      <c r="DX408" s="46"/>
      <c r="DY408" s="46"/>
      <c r="DZ408" s="46"/>
      <c r="EA408" s="46"/>
      <c r="EB408" s="46"/>
      <c r="EC408" s="46"/>
      <c r="ED408" s="46"/>
      <c r="EE408" s="46"/>
      <c r="EF408" s="46"/>
      <c r="EG408" s="46"/>
      <c r="EH408" s="46"/>
      <c r="EI408" s="46"/>
      <c r="EJ408" s="46"/>
      <c r="EK408" s="46"/>
      <c r="EL408" s="46"/>
      <c r="EM408" s="46"/>
      <c r="EN408" s="46"/>
      <c r="EO408" s="46"/>
      <c r="EP408" s="46"/>
      <c r="EQ408" s="46"/>
      <c r="ER408" s="46"/>
      <c r="ES408" s="46"/>
      <c r="ET408" s="46"/>
      <c r="EU408" s="46"/>
      <c r="EV408" s="46"/>
      <c r="EW408" s="46"/>
      <c r="EX408" s="46"/>
      <c r="EY408" s="46"/>
      <c r="EZ408" s="46"/>
      <c r="FA408" s="46"/>
      <c r="FB408" s="46"/>
      <c r="FC408" s="46"/>
      <c r="FD408" s="46"/>
      <c r="FE408" s="46"/>
      <c r="FF408" s="46"/>
      <c r="FG408" s="46"/>
      <c r="FH408" s="46"/>
      <c r="FI408" s="46"/>
      <c r="FJ408" s="46"/>
      <c r="FK408" s="46"/>
      <c r="FL408" s="46"/>
      <c r="FM408" s="46"/>
      <c r="FN408" s="46"/>
      <c r="FO408" s="46"/>
      <c r="FP408" s="46"/>
      <c r="FQ408" s="46"/>
      <c r="FR408" s="46"/>
      <c r="FS408" s="46"/>
      <c r="FT408" s="46"/>
      <c r="FU408" s="46"/>
      <c r="FV408" s="46"/>
      <c r="FW408" s="46"/>
      <c r="FX408" s="46"/>
      <c r="FY408" s="46"/>
      <c r="FZ408" s="46"/>
      <c r="GA408" s="46"/>
      <c r="GB408" s="46"/>
      <c r="GC408" s="46"/>
      <c r="GD408" s="46"/>
      <c r="GE408" s="46"/>
      <c r="GF408" s="46"/>
      <c r="GG408" s="46"/>
      <c r="GH408" s="46"/>
      <c r="GI408" s="46"/>
      <c r="GJ408" s="46"/>
      <c r="GK408" s="46"/>
      <c r="GL408" s="46"/>
      <c r="GM408" s="46"/>
      <c r="GN408" s="46"/>
      <c r="GO408" s="46"/>
      <c r="GP408" s="46"/>
    </row>
    <row r="409" spans="1:198" ht="15" x14ac:dyDescent="0.2">
      <c r="A409" s="61" t="s">
        <v>329</v>
      </c>
      <c r="B409" s="68" t="s">
        <v>74</v>
      </c>
      <c r="C409" s="63">
        <v>200000000</v>
      </c>
      <c r="D409" s="62">
        <v>19778000000</v>
      </c>
      <c r="E409" s="23"/>
      <c r="F409" s="31"/>
      <c r="G409" s="46"/>
      <c r="H409" s="47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  <c r="EF409" s="46"/>
      <c r="EG409" s="46"/>
      <c r="EH409" s="46"/>
      <c r="EI409" s="46"/>
      <c r="EJ409" s="46"/>
      <c r="EK409" s="46"/>
      <c r="EL409" s="46"/>
      <c r="EM409" s="46"/>
      <c r="EN409" s="46"/>
      <c r="EO409" s="46"/>
      <c r="EP409" s="46"/>
      <c r="EQ409" s="46"/>
      <c r="ER409" s="46"/>
      <c r="ES409" s="46"/>
      <c r="ET409" s="46"/>
      <c r="EU409" s="46"/>
      <c r="EV409" s="46"/>
      <c r="EW409" s="46"/>
      <c r="EX409" s="46"/>
      <c r="EY409" s="46"/>
      <c r="EZ409" s="46"/>
      <c r="FA409" s="46"/>
      <c r="FB409" s="46"/>
      <c r="FC409" s="46"/>
      <c r="FD409" s="46"/>
      <c r="FE409" s="46"/>
      <c r="FF409" s="46"/>
      <c r="FG409" s="46"/>
      <c r="FH409" s="46"/>
      <c r="FI409" s="46"/>
      <c r="FJ409" s="46"/>
      <c r="FK409" s="46"/>
      <c r="FL409" s="46"/>
      <c r="FM409" s="46"/>
      <c r="FN409" s="46"/>
      <c r="FO409" s="46"/>
      <c r="FP409" s="46"/>
      <c r="FQ409" s="46"/>
      <c r="FR409" s="46"/>
      <c r="FS409" s="46"/>
      <c r="FT409" s="46"/>
      <c r="FU409" s="46"/>
      <c r="FV409" s="46"/>
      <c r="FW409" s="46"/>
      <c r="FX409" s="46"/>
      <c r="FY409" s="46"/>
      <c r="FZ409" s="46"/>
      <c r="GA409" s="46"/>
      <c r="GB409" s="46"/>
      <c r="GC409" s="46"/>
      <c r="GD409" s="46"/>
      <c r="GE409" s="46"/>
      <c r="GF409" s="46"/>
      <c r="GG409" s="46"/>
      <c r="GH409" s="46"/>
      <c r="GI409" s="46"/>
      <c r="GJ409" s="46"/>
      <c r="GK409" s="46"/>
      <c r="GL409" s="46"/>
      <c r="GM409" s="46"/>
      <c r="GN409" s="46"/>
      <c r="GO409" s="46"/>
      <c r="GP409" s="46"/>
    </row>
    <row r="410" spans="1:198" ht="15" x14ac:dyDescent="0.2">
      <c r="A410" s="61" t="s">
        <v>330</v>
      </c>
      <c r="B410" s="68" t="s">
        <v>74</v>
      </c>
      <c r="C410" s="63">
        <v>9465480</v>
      </c>
      <c r="D410" s="62">
        <v>936041317.20000005</v>
      </c>
      <c r="E410" s="23"/>
      <c r="F410" s="31"/>
      <c r="G410" s="46"/>
      <c r="H410" s="47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  <c r="EO410" s="46"/>
      <c r="EP410" s="46"/>
      <c r="EQ410" s="46"/>
      <c r="ER410" s="46"/>
      <c r="ES410" s="46"/>
      <c r="ET410" s="46"/>
      <c r="EU410" s="46"/>
      <c r="EV410" s="46"/>
      <c r="EW410" s="46"/>
      <c r="EX410" s="46"/>
      <c r="EY410" s="46"/>
      <c r="EZ410" s="46"/>
      <c r="FA410" s="46"/>
      <c r="FB410" s="46"/>
      <c r="FC410" s="46"/>
      <c r="FD410" s="46"/>
      <c r="FE410" s="46"/>
      <c r="FF410" s="46"/>
      <c r="FG410" s="46"/>
      <c r="FH410" s="46"/>
      <c r="FI410" s="46"/>
      <c r="FJ410" s="46"/>
      <c r="FK410" s="46"/>
      <c r="FL410" s="46"/>
      <c r="FM410" s="46"/>
      <c r="FN410" s="46"/>
      <c r="FO410" s="46"/>
      <c r="FP410" s="46"/>
      <c r="FQ410" s="46"/>
      <c r="FR410" s="46"/>
      <c r="FS410" s="46"/>
      <c r="FT410" s="46"/>
      <c r="FU410" s="46"/>
      <c r="FV410" s="46"/>
      <c r="FW410" s="46"/>
      <c r="FX410" s="46"/>
      <c r="FY410" s="46"/>
      <c r="FZ410" s="46"/>
      <c r="GA410" s="46"/>
      <c r="GB410" s="46"/>
      <c r="GC410" s="46"/>
      <c r="GD410" s="46"/>
      <c r="GE410" s="46"/>
      <c r="GF410" s="46"/>
      <c r="GG410" s="46"/>
      <c r="GH410" s="46"/>
      <c r="GI410" s="46"/>
      <c r="GJ410" s="46"/>
      <c r="GK410" s="46"/>
      <c r="GL410" s="46"/>
      <c r="GM410" s="46"/>
      <c r="GN410" s="46"/>
      <c r="GO410" s="46"/>
      <c r="GP410" s="46"/>
    </row>
    <row r="411" spans="1:198" ht="15" x14ac:dyDescent="0.2">
      <c r="A411" s="61" t="s">
        <v>334</v>
      </c>
      <c r="B411" s="68" t="s">
        <v>74</v>
      </c>
      <c r="C411" s="63">
        <v>3954150</v>
      </c>
      <c r="D411" s="62">
        <v>391025893.5</v>
      </c>
      <c r="E411" s="23"/>
      <c r="F411" s="31"/>
      <c r="G411" s="46"/>
      <c r="H411" s="47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46"/>
      <c r="DP411" s="46"/>
      <c r="DQ411" s="46"/>
      <c r="DR411" s="46"/>
      <c r="DS411" s="46"/>
      <c r="DT411" s="46"/>
      <c r="DU411" s="46"/>
      <c r="DV411" s="46"/>
      <c r="DW411" s="46"/>
      <c r="DX411" s="46"/>
      <c r="DY411" s="46"/>
      <c r="DZ411" s="46"/>
      <c r="EA411" s="46"/>
      <c r="EB411" s="46"/>
      <c r="EC411" s="46"/>
      <c r="ED411" s="46"/>
      <c r="EE411" s="46"/>
      <c r="EF411" s="46"/>
      <c r="EG411" s="46"/>
      <c r="EH411" s="46"/>
      <c r="EI411" s="46"/>
      <c r="EJ411" s="46"/>
      <c r="EK411" s="46"/>
      <c r="EL411" s="46"/>
      <c r="EM411" s="46"/>
      <c r="EN411" s="46"/>
      <c r="EO411" s="46"/>
      <c r="EP411" s="46"/>
      <c r="EQ411" s="46"/>
      <c r="ER411" s="46"/>
      <c r="ES411" s="46"/>
      <c r="ET411" s="46"/>
      <c r="EU411" s="46"/>
      <c r="EV411" s="46"/>
      <c r="EW411" s="46"/>
      <c r="EX411" s="46"/>
      <c r="EY411" s="46"/>
      <c r="EZ411" s="46"/>
      <c r="FA411" s="46"/>
      <c r="FB411" s="46"/>
      <c r="FC411" s="46"/>
      <c r="FD411" s="46"/>
      <c r="FE411" s="46"/>
      <c r="FF411" s="46"/>
      <c r="FG411" s="46"/>
      <c r="FH411" s="46"/>
      <c r="FI411" s="46"/>
      <c r="FJ411" s="46"/>
      <c r="FK411" s="46"/>
      <c r="FL411" s="46"/>
      <c r="FM411" s="46"/>
      <c r="FN411" s="46"/>
      <c r="FO411" s="46"/>
      <c r="FP411" s="46"/>
      <c r="FQ411" s="46"/>
      <c r="FR411" s="46"/>
      <c r="FS411" s="46"/>
      <c r="FT411" s="46"/>
      <c r="FU411" s="46"/>
      <c r="FV411" s="46"/>
      <c r="FW411" s="46"/>
      <c r="FX411" s="46"/>
      <c r="FY411" s="46"/>
      <c r="FZ411" s="46"/>
      <c r="GA411" s="46"/>
      <c r="GB411" s="46"/>
      <c r="GC411" s="46"/>
      <c r="GD411" s="46"/>
      <c r="GE411" s="46"/>
      <c r="GF411" s="46"/>
      <c r="GG411" s="46"/>
      <c r="GH411" s="46"/>
      <c r="GI411" s="46"/>
      <c r="GJ411" s="46"/>
      <c r="GK411" s="46"/>
      <c r="GL411" s="46"/>
      <c r="GM411" s="46"/>
      <c r="GN411" s="46"/>
      <c r="GO411" s="46"/>
      <c r="GP411" s="46"/>
    </row>
    <row r="412" spans="1:198" ht="15" x14ac:dyDescent="0.2">
      <c r="A412" s="61" t="s">
        <v>342</v>
      </c>
      <c r="B412" s="68" t="s">
        <v>74</v>
      </c>
      <c r="C412" s="63">
        <v>100000000</v>
      </c>
      <c r="D412" s="62">
        <v>9889000000</v>
      </c>
      <c r="E412" s="23"/>
      <c r="F412" s="31"/>
      <c r="G412" s="46"/>
      <c r="H412" s="47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  <c r="EF412" s="46"/>
      <c r="EG412" s="46"/>
      <c r="EH412" s="46"/>
      <c r="EI412" s="46"/>
      <c r="EJ412" s="46"/>
      <c r="EK412" s="46"/>
      <c r="EL412" s="46"/>
      <c r="EM412" s="46"/>
      <c r="EN412" s="46"/>
      <c r="EO412" s="46"/>
      <c r="EP412" s="46"/>
      <c r="EQ412" s="46"/>
      <c r="ER412" s="46"/>
      <c r="ES412" s="46"/>
      <c r="ET412" s="46"/>
      <c r="EU412" s="46"/>
      <c r="EV412" s="46"/>
      <c r="EW412" s="46"/>
      <c r="EX412" s="46"/>
      <c r="EY412" s="46"/>
      <c r="EZ412" s="46"/>
      <c r="FA412" s="46"/>
      <c r="FB412" s="46"/>
      <c r="FC412" s="46"/>
      <c r="FD412" s="46"/>
      <c r="FE412" s="46"/>
      <c r="FF412" s="46"/>
      <c r="FG412" s="46"/>
      <c r="FH412" s="46"/>
      <c r="FI412" s="46"/>
      <c r="FJ412" s="46"/>
      <c r="FK412" s="46"/>
      <c r="FL412" s="46"/>
      <c r="FM412" s="46"/>
      <c r="FN412" s="46"/>
      <c r="FO412" s="46"/>
      <c r="FP412" s="46"/>
      <c r="FQ412" s="46"/>
      <c r="FR412" s="46"/>
      <c r="FS412" s="46"/>
      <c r="FT412" s="46"/>
      <c r="FU412" s="46"/>
      <c r="FV412" s="46"/>
      <c r="FW412" s="46"/>
      <c r="FX412" s="46"/>
      <c r="FY412" s="46"/>
      <c r="FZ412" s="46"/>
      <c r="GA412" s="46"/>
      <c r="GB412" s="46"/>
      <c r="GC412" s="46"/>
      <c r="GD412" s="46"/>
      <c r="GE412" s="46"/>
      <c r="GF412" s="46"/>
      <c r="GG412" s="46"/>
      <c r="GH412" s="46"/>
      <c r="GI412" s="46"/>
      <c r="GJ412" s="46"/>
      <c r="GK412" s="46"/>
      <c r="GL412" s="46"/>
      <c r="GM412" s="46"/>
      <c r="GN412" s="46"/>
      <c r="GO412" s="46"/>
      <c r="GP412" s="46"/>
    </row>
    <row r="413" spans="1:198" ht="15" x14ac:dyDescent="0.2">
      <c r="A413" s="76"/>
      <c r="B413" s="86"/>
      <c r="C413" s="74"/>
      <c r="D413" s="79"/>
      <c r="E413" s="23"/>
      <c r="F413" s="31"/>
      <c r="G413" s="165"/>
      <c r="H413" s="47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  <c r="CZ413" s="46"/>
      <c r="DA413" s="46"/>
      <c r="DB413" s="46"/>
      <c r="DC413" s="46"/>
      <c r="DD413" s="46"/>
      <c r="DE413" s="46"/>
      <c r="DF413" s="46"/>
      <c r="DG413" s="46"/>
      <c r="DH413" s="46"/>
      <c r="DI413" s="46"/>
      <c r="DJ413" s="46"/>
      <c r="DK413" s="46"/>
      <c r="DL413" s="46"/>
      <c r="DM413" s="46"/>
      <c r="DN413" s="46"/>
      <c r="DO413" s="46"/>
      <c r="DP413" s="46"/>
      <c r="DQ413" s="46"/>
      <c r="DR413" s="46"/>
      <c r="DS413" s="46"/>
      <c r="DT413" s="46"/>
      <c r="DU413" s="46"/>
      <c r="DV413" s="46"/>
      <c r="DW413" s="46"/>
      <c r="DX413" s="46"/>
      <c r="DY413" s="46"/>
      <c r="DZ413" s="46"/>
      <c r="EA413" s="46"/>
      <c r="EB413" s="46"/>
      <c r="EC413" s="46"/>
      <c r="ED413" s="46"/>
      <c r="EE413" s="46"/>
      <c r="EF413" s="46"/>
      <c r="EG413" s="46"/>
      <c r="EH413" s="46"/>
      <c r="EI413" s="46"/>
      <c r="EJ413" s="46"/>
      <c r="EK413" s="46"/>
      <c r="EL413" s="46"/>
      <c r="EM413" s="46"/>
      <c r="EN413" s="46"/>
      <c r="EO413" s="46"/>
      <c r="EP413" s="46"/>
      <c r="EQ413" s="46"/>
      <c r="ER413" s="46"/>
      <c r="ES413" s="46"/>
      <c r="ET413" s="46"/>
      <c r="EU413" s="46"/>
      <c r="EV413" s="46"/>
      <c r="EW413" s="46"/>
      <c r="EX413" s="46"/>
      <c r="EY413" s="46"/>
      <c r="EZ413" s="46"/>
      <c r="FA413" s="46"/>
      <c r="FB413" s="46"/>
      <c r="FC413" s="46"/>
      <c r="FD413" s="46"/>
      <c r="FE413" s="46"/>
      <c r="FF413" s="46"/>
      <c r="FG413" s="46"/>
      <c r="FH413" s="46"/>
      <c r="FI413" s="46"/>
      <c r="FJ413" s="46"/>
      <c r="FK413" s="46"/>
      <c r="FL413" s="46"/>
      <c r="FM413" s="46"/>
      <c r="FN413" s="46"/>
      <c r="FO413" s="46"/>
      <c r="FP413" s="46"/>
      <c r="FQ413" s="46"/>
      <c r="FR413" s="46"/>
      <c r="FS413" s="46"/>
      <c r="FT413" s="46"/>
      <c r="FU413" s="46"/>
      <c r="FV413" s="46"/>
      <c r="FW413" s="46"/>
      <c r="FX413" s="46"/>
      <c r="FY413" s="46"/>
      <c r="FZ413" s="46"/>
      <c r="GA413" s="46"/>
      <c r="GB413" s="46"/>
      <c r="GC413" s="46"/>
      <c r="GD413" s="46"/>
      <c r="GE413" s="46"/>
      <c r="GF413" s="46"/>
      <c r="GG413" s="46"/>
      <c r="GH413" s="46"/>
      <c r="GI413" s="46"/>
      <c r="GJ413" s="46"/>
      <c r="GK413" s="46"/>
      <c r="GL413" s="46"/>
      <c r="GM413" s="46"/>
      <c r="GN413" s="46"/>
      <c r="GO413" s="46"/>
      <c r="GP413" s="46"/>
    </row>
    <row r="414" spans="1:198" x14ac:dyDescent="0.2">
      <c r="A414" s="61" t="s">
        <v>93</v>
      </c>
      <c r="B414" s="26"/>
      <c r="C414" s="64"/>
      <c r="D414" s="22">
        <v>63917287316.353897</v>
      </c>
      <c r="E414" s="20"/>
      <c r="F414" s="35"/>
      <c r="G414" s="165"/>
      <c r="H414" s="47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  <c r="EF414" s="46"/>
      <c r="EG414" s="46"/>
      <c r="EH414" s="46"/>
      <c r="EI414" s="46"/>
      <c r="EJ414" s="46"/>
      <c r="EK414" s="46"/>
      <c r="EL414" s="46"/>
      <c r="EM414" s="46"/>
      <c r="EN414" s="46"/>
      <c r="EO414" s="46"/>
      <c r="EP414" s="46"/>
      <c r="EQ414" s="46"/>
      <c r="ER414" s="46"/>
      <c r="ES414" s="46"/>
      <c r="ET414" s="46"/>
      <c r="EU414" s="46"/>
      <c r="EV414" s="46"/>
      <c r="EW414" s="46"/>
      <c r="EX414" s="46"/>
      <c r="EY414" s="46"/>
      <c r="EZ414" s="46"/>
      <c r="FA414" s="46"/>
      <c r="FB414" s="46"/>
      <c r="FC414" s="46"/>
      <c r="FD414" s="46"/>
      <c r="FE414" s="46"/>
      <c r="FF414" s="46"/>
      <c r="FG414" s="46"/>
      <c r="FH414" s="46"/>
      <c r="FI414" s="46"/>
      <c r="FJ414" s="46"/>
      <c r="FK414" s="46"/>
      <c r="FL414" s="46"/>
      <c r="FM414" s="46"/>
      <c r="FN414" s="46"/>
      <c r="FO414" s="46"/>
      <c r="FP414" s="46"/>
      <c r="FQ414" s="46"/>
      <c r="FR414" s="46"/>
      <c r="FS414" s="46"/>
      <c r="FT414" s="46"/>
      <c r="FU414" s="46"/>
      <c r="FV414" s="46"/>
      <c r="FW414" s="46"/>
      <c r="FX414" s="46"/>
      <c r="FY414" s="46"/>
      <c r="FZ414" s="46"/>
      <c r="GA414" s="46"/>
      <c r="GB414" s="46"/>
      <c r="GC414" s="46"/>
      <c r="GD414" s="46"/>
      <c r="GE414" s="46"/>
      <c r="GF414" s="46"/>
      <c r="GG414" s="46"/>
      <c r="GH414" s="46"/>
      <c r="GI414" s="46"/>
      <c r="GJ414" s="46"/>
      <c r="GK414" s="46"/>
      <c r="GL414" s="46"/>
      <c r="GM414" s="46"/>
      <c r="GN414" s="46"/>
      <c r="GO414" s="46"/>
      <c r="GP414" s="46"/>
    </row>
    <row r="415" spans="1:198" ht="15" x14ac:dyDescent="0.2">
      <c r="A415" s="100"/>
      <c r="B415" s="86"/>
      <c r="C415" s="74"/>
      <c r="D415" s="75"/>
      <c r="E415" s="16"/>
      <c r="F415" s="31"/>
      <c r="G415" s="46"/>
      <c r="H415" s="47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  <c r="EF415" s="46"/>
      <c r="EG415" s="46"/>
      <c r="EH415" s="46"/>
      <c r="EI415" s="46"/>
      <c r="EJ415" s="46"/>
      <c r="EK415" s="46"/>
      <c r="EL415" s="46"/>
      <c r="EM415" s="46"/>
      <c r="EN415" s="46"/>
      <c r="EO415" s="46"/>
      <c r="EP415" s="46"/>
      <c r="EQ415" s="46"/>
      <c r="ER415" s="46"/>
      <c r="ES415" s="46"/>
      <c r="ET415" s="46"/>
      <c r="EU415" s="46"/>
      <c r="EV415" s="46"/>
      <c r="EW415" s="46"/>
      <c r="EX415" s="46"/>
      <c r="EY415" s="46"/>
      <c r="EZ415" s="46"/>
      <c r="FA415" s="46"/>
      <c r="FB415" s="46"/>
      <c r="FC415" s="46"/>
      <c r="FD415" s="46"/>
      <c r="FE415" s="46"/>
      <c r="FF415" s="46"/>
      <c r="FG415" s="46"/>
      <c r="FH415" s="46"/>
      <c r="FI415" s="46"/>
      <c r="FJ415" s="46"/>
      <c r="FK415" s="46"/>
      <c r="FL415" s="46"/>
      <c r="FM415" s="46"/>
      <c r="FN415" s="46"/>
      <c r="FO415" s="46"/>
      <c r="FP415" s="46"/>
      <c r="FQ415" s="46"/>
      <c r="FR415" s="46"/>
      <c r="FS415" s="46"/>
      <c r="FT415" s="46"/>
      <c r="FU415" s="46"/>
      <c r="FV415" s="46"/>
      <c r="FW415" s="46"/>
      <c r="FX415" s="46"/>
      <c r="FY415" s="46"/>
      <c r="FZ415" s="46"/>
      <c r="GA415" s="46"/>
      <c r="GB415" s="46"/>
      <c r="GC415" s="46"/>
      <c r="GD415" s="46"/>
      <c r="GE415" s="46"/>
      <c r="GF415" s="46"/>
      <c r="GG415" s="46"/>
      <c r="GH415" s="46"/>
      <c r="GI415" s="46"/>
      <c r="GJ415" s="46"/>
      <c r="GK415" s="46"/>
      <c r="GL415" s="46"/>
      <c r="GM415" s="46"/>
      <c r="GN415" s="46"/>
      <c r="GO415" s="46"/>
      <c r="GP415" s="46"/>
    </row>
    <row r="416" spans="1:198" s="46" customFormat="1" ht="15" x14ac:dyDescent="0.2">
      <c r="A416" s="115" t="s">
        <v>249</v>
      </c>
      <c r="B416" s="86"/>
      <c r="C416" s="74"/>
      <c r="D416" s="75"/>
      <c r="E416" s="44"/>
      <c r="F416" s="45"/>
      <c r="H416" s="47"/>
    </row>
    <row r="417" spans="1:198" ht="15" x14ac:dyDescent="0.2">
      <c r="A417" s="115" t="s">
        <v>103</v>
      </c>
      <c r="B417" s="68" t="s">
        <v>74</v>
      </c>
      <c r="C417" s="117">
        <v>166740</v>
      </c>
      <c r="D417" s="62">
        <v>16488918.6</v>
      </c>
      <c r="E417" s="16">
        <f>2250000-125000</f>
        <v>2125000</v>
      </c>
      <c r="F417" s="31"/>
      <c r="G417" s="46"/>
      <c r="H417" s="47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  <c r="EF417" s="46"/>
      <c r="EG417" s="46"/>
      <c r="EH417" s="46"/>
      <c r="EI417" s="46"/>
      <c r="EJ417" s="46"/>
      <c r="EK417" s="46"/>
      <c r="EL417" s="46"/>
      <c r="EM417" s="46"/>
      <c r="EN417" s="46"/>
      <c r="EO417" s="46"/>
      <c r="EP417" s="46"/>
      <c r="EQ417" s="46"/>
      <c r="ER417" s="46"/>
      <c r="ES417" s="46"/>
      <c r="ET417" s="46"/>
      <c r="EU417" s="46"/>
      <c r="EV417" s="46"/>
      <c r="EW417" s="46"/>
      <c r="EX417" s="46"/>
      <c r="EY417" s="46"/>
      <c r="EZ417" s="46"/>
      <c r="FA417" s="46"/>
      <c r="FB417" s="46"/>
      <c r="FC417" s="46"/>
      <c r="FD417" s="46"/>
      <c r="FE417" s="46"/>
      <c r="FF417" s="46"/>
      <c r="FG417" s="46"/>
      <c r="FH417" s="46"/>
      <c r="FI417" s="46"/>
      <c r="FJ417" s="46"/>
      <c r="FK417" s="46"/>
      <c r="FL417" s="46"/>
      <c r="FM417" s="46"/>
      <c r="FN417" s="46"/>
      <c r="FO417" s="46"/>
      <c r="FP417" s="46"/>
      <c r="FQ417" s="46"/>
      <c r="FR417" s="46"/>
      <c r="FS417" s="46"/>
      <c r="FT417" s="46"/>
      <c r="FU417" s="46"/>
      <c r="FV417" s="46"/>
      <c r="FW417" s="46"/>
      <c r="FX417" s="46"/>
      <c r="FY417" s="46"/>
      <c r="FZ417" s="46"/>
      <c r="GA417" s="46"/>
      <c r="GB417" s="46"/>
      <c r="GC417" s="46"/>
      <c r="GD417" s="46"/>
      <c r="GE417" s="46"/>
      <c r="GF417" s="46"/>
      <c r="GG417" s="46"/>
      <c r="GH417" s="46"/>
      <c r="GI417" s="46"/>
      <c r="GJ417" s="46"/>
      <c r="GK417" s="46"/>
      <c r="GL417" s="46"/>
      <c r="GM417" s="46"/>
      <c r="GN417" s="46"/>
      <c r="GO417" s="46"/>
      <c r="GP417" s="46"/>
    </row>
    <row r="418" spans="1:198" ht="15" x14ac:dyDescent="0.2">
      <c r="A418" s="115" t="s">
        <v>7</v>
      </c>
      <c r="B418" s="68" t="s">
        <v>74</v>
      </c>
      <c r="C418" s="117">
        <v>375000</v>
      </c>
      <c r="D418" s="62">
        <v>37083750</v>
      </c>
      <c r="E418" s="16">
        <f>1416690-83330</f>
        <v>1333360</v>
      </c>
      <c r="F418" s="31"/>
      <c r="G418" s="46"/>
      <c r="H418" s="47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  <c r="CZ418" s="46"/>
      <c r="DA418" s="46"/>
      <c r="DB418" s="46"/>
      <c r="DC418" s="46"/>
      <c r="DD418" s="46"/>
      <c r="DE418" s="46"/>
      <c r="DF418" s="46"/>
      <c r="DG418" s="46"/>
      <c r="DH418" s="46"/>
      <c r="DI418" s="46"/>
      <c r="DJ418" s="46"/>
      <c r="DK418" s="46"/>
      <c r="DL418" s="46"/>
      <c r="DM418" s="46"/>
      <c r="DN418" s="46"/>
      <c r="DO418" s="46"/>
      <c r="DP418" s="46"/>
      <c r="DQ418" s="46"/>
      <c r="DR418" s="46"/>
      <c r="DS418" s="46"/>
      <c r="DT418" s="46"/>
      <c r="DU418" s="46"/>
      <c r="DV418" s="46"/>
      <c r="DW418" s="46"/>
      <c r="DX418" s="46"/>
      <c r="DY418" s="46"/>
      <c r="DZ418" s="46"/>
      <c r="EA418" s="46"/>
      <c r="EB418" s="46"/>
      <c r="EC418" s="46"/>
      <c r="ED418" s="46"/>
      <c r="EE418" s="46"/>
      <c r="EF418" s="46"/>
      <c r="EG418" s="46"/>
      <c r="EH418" s="46"/>
      <c r="EI418" s="46"/>
      <c r="EJ418" s="46"/>
      <c r="EK418" s="46"/>
      <c r="EL418" s="46"/>
      <c r="EM418" s="46"/>
      <c r="EN418" s="46"/>
      <c r="EO418" s="46"/>
      <c r="EP418" s="46"/>
      <c r="EQ418" s="46"/>
      <c r="ER418" s="46"/>
      <c r="ES418" s="46"/>
      <c r="ET418" s="46"/>
      <c r="EU418" s="46"/>
      <c r="EV418" s="46"/>
      <c r="EW418" s="46"/>
      <c r="EX418" s="46"/>
      <c r="EY418" s="46"/>
      <c r="EZ418" s="46"/>
      <c r="FA418" s="46"/>
      <c r="FB418" s="46"/>
      <c r="FC418" s="46"/>
      <c r="FD418" s="46"/>
      <c r="FE418" s="46"/>
      <c r="FF418" s="46"/>
      <c r="FG418" s="46"/>
      <c r="FH418" s="46"/>
      <c r="FI418" s="46"/>
      <c r="FJ418" s="46"/>
      <c r="FK418" s="46"/>
      <c r="FL418" s="46"/>
      <c r="FM418" s="46"/>
      <c r="FN418" s="46"/>
      <c r="FO418" s="46"/>
      <c r="FP418" s="46"/>
      <c r="FQ418" s="46"/>
      <c r="FR418" s="46"/>
      <c r="FS418" s="46"/>
      <c r="FT418" s="46"/>
      <c r="FU418" s="46"/>
      <c r="FV418" s="46"/>
      <c r="FW418" s="46"/>
      <c r="FX418" s="46"/>
      <c r="FY418" s="46"/>
      <c r="FZ418" s="46"/>
      <c r="GA418" s="46"/>
      <c r="GB418" s="46"/>
      <c r="GC418" s="46"/>
      <c r="GD418" s="46"/>
      <c r="GE418" s="46"/>
      <c r="GF418" s="46"/>
      <c r="GG418" s="46"/>
      <c r="GH418" s="46"/>
      <c r="GI418" s="46"/>
      <c r="GJ418" s="46"/>
      <c r="GK418" s="46"/>
      <c r="GL418" s="46"/>
      <c r="GM418" s="46"/>
      <c r="GN418" s="46"/>
      <c r="GO418" s="46"/>
      <c r="GP418" s="46"/>
    </row>
    <row r="419" spans="1:198" ht="15" x14ac:dyDescent="0.2">
      <c r="A419" s="115" t="s">
        <v>250</v>
      </c>
      <c r="B419" s="68" t="s">
        <v>74</v>
      </c>
      <c r="C419" s="63">
        <v>1333440</v>
      </c>
      <c r="D419" s="62">
        <v>131863881.59999999</v>
      </c>
      <c r="E419" s="16">
        <f>3096696.01-166660</f>
        <v>2930036.01</v>
      </c>
      <c r="F419" s="32" t="s">
        <v>73</v>
      </c>
      <c r="G419" s="46"/>
      <c r="H419" s="47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  <c r="EO419" s="46"/>
      <c r="EP419" s="46"/>
      <c r="EQ419" s="46"/>
      <c r="ER419" s="46"/>
      <c r="ES419" s="46"/>
      <c r="ET419" s="46"/>
      <c r="EU419" s="46"/>
      <c r="EV419" s="46"/>
      <c r="EW419" s="46"/>
      <c r="EX419" s="46"/>
      <c r="EY419" s="46"/>
      <c r="EZ419" s="46"/>
      <c r="FA419" s="46"/>
      <c r="FB419" s="46"/>
      <c r="FC419" s="46"/>
      <c r="FD419" s="46"/>
      <c r="FE419" s="46"/>
      <c r="FF419" s="46"/>
      <c r="FG419" s="46"/>
      <c r="FH419" s="46"/>
      <c r="FI419" s="46"/>
      <c r="FJ419" s="46"/>
      <c r="FK419" s="46"/>
      <c r="FL419" s="46"/>
      <c r="FM419" s="46"/>
      <c r="FN419" s="46"/>
      <c r="FO419" s="46"/>
      <c r="FP419" s="46"/>
      <c r="FQ419" s="46"/>
      <c r="FR419" s="46"/>
      <c r="FS419" s="46"/>
      <c r="FT419" s="46"/>
      <c r="FU419" s="46"/>
      <c r="FV419" s="46"/>
      <c r="FW419" s="46"/>
      <c r="FX419" s="46"/>
      <c r="FY419" s="46"/>
      <c r="FZ419" s="46"/>
      <c r="GA419" s="46"/>
      <c r="GB419" s="46"/>
      <c r="GC419" s="46"/>
      <c r="GD419" s="46"/>
      <c r="GE419" s="46"/>
      <c r="GF419" s="46"/>
      <c r="GG419" s="46"/>
      <c r="GH419" s="46"/>
      <c r="GI419" s="46"/>
      <c r="GJ419" s="46"/>
      <c r="GK419" s="46"/>
      <c r="GL419" s="46"/>
      <c r="GM419" s="46"/>
      <c r="GN419" s="46"/>
      <c r="GO419" s="46"/>
      <c r="GP419" s="46"/>
    </row>
    <row r="420" spans="1:198" ht="15" x14ac:dyDescent="0.2">
      <c r="A420" s="115" t="s">
        <v>251</v>
      </c>
      <c r="B420" s="68" t="s">
        <v>74</v>
      </c>
      <c r="C420" s="63">
        <v>2266710</v>
      </c>
      <c r="D420" s="62">
        <v>224154951.90000001</v>
      </c>
      <c r="E420" s="16"/>
      <c r="F420" s="32"/>
      <c r="G420" s="46"/>
      <c r="H420" s="47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46"/>
      <c r="DP420" s="46"/>
      <c r="DQ420" s="46"/>
      <c r="DR420" s="46"/>
      <c r="DS420" s="46"/>
      <c r="DT420" s="46"/>
      <c r="DU420" s="46"/>
      <c r="DV420" s="46"/>
      <c r="DW420" s="46"/>
      <c r="DX420" s="46"/>
      <c r="DY420" s="46"/>
      <c r="DZ420" s="46"/>
      <c r="EA420" s="46"/>
      <c r="EB420" s="46"/>
      <c r="EC420" s="46"/>
      <c r="ED420" s="46"/>
      <c r="EE420" s="46"/>
      <c r="EF420" s="46"/>
      <c r="EG420" s="46"/>
      <c r="EH420" s="46"/>
      <c r="EI420" s="46"/>
      <c r="EJ420" s="46"/>
      <c r="EK420" s="46"/>
      <c r="EL420" s="46"/>
      <c r="EM420" s="46"/>
      <c r="EN420" s="46"/>
      <c r="EO420" s="46"/>
      <c r="EP420" s="46"/>
      <c r="EQ420" s="46"/>
      <c r="ER420" s="46"/>
      <c r="ES420" s="46"/>
      <c r="ET420" s="46"/>
      <c r="EU420" s="46"/>
      <c r="EV420" s="46"/>
      <c r="EW420" s="46"/>
      <c r="EX420" s="46"/>
      <c r="EY420" s="46"/>
      <c r="EZ420" s="46"/>
      <c r="FA420" s="46"/>
      <c r="FB420" s="46"/>
      <c r="FC420" s="46"/>
      <c r="FD420" s="46"/>
      <c r="FE420" s="46"/>
      <c r="FF420" s="46"/>
      <c r="FG420" s="46"/>
      <c r="FH420" s="46"/>
      <c r="FI420" s="46"/>
      <c r="FJ420" s="46"/>
      <c r="FK420" s="46"/>
      <c r="FL420" s="46"/>
      <c r="FM420" s="46"/>
      <c r="FN420" s="46"/>
      <c r="FO420" s="46"/>
      <c r="FP420" s="46"/>
      <c r="FQ420" s="46"/>
      <c r="FR420" s="46"/>
      <c r="FS420" s="46"/>
      <c r="FT420" s="46"/>
      <c r="FU420" s="46"/>
      <c r="FV420" s="46"/>
      <c r="FW420" s="46"/>
      <c r="FX420" s="46"/>
      <c r="FY420" s="46"/>
      <c r="FZ420" s="46"/>
      <c r="GA420" s="46"/>
      <c r="GB420" s="46"/>
      <c r="GC420" s="46"/>
      <c r="GD420" s="46"/>
      <c r="GE420" s="46"/>
      <c r="GF420" s="46"/>
      <c r="GG420" s="46"/>
      <c r="GH420" s="46"/>
      <c r="GI420" s="46"/>
      <c r="GJ420" s="46"/>
      <c r="GK420" s="46"/>
      <c r="GL420" s="46"/>
      <c r="GM420" s="46"/>
      <c r="GN420" s="46"/>
      <c r="GO420" s="46"/>
      <c r="GP420" s="46"/>
    </row>
    <row r="421" spans="1:198" x14ac:dyDescent="0.2">
      <c r="A421" s="115" t="s">
        <v>252</v>
      </c>
      <c r="B421" s="68" t="s">
        <v>74</v>
      </c>
      <c r="C421" s="63">
        <v>3166740</v>
      </c>
      <c r="D421" s="62">
        <v>313158918.60000002</v>
      </c>
      <c r="E421" s="42">
        <f>D421*D$468</f>
        <v>0</v>
      </c>
      <c r="F421" s="42">
        <f>E421*E$468</f>
        <v>0</v>
      </c>
      <c r="G421" s="46"/>
      <c r="H421" s="47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  <c r="EF421" s="46"/>
      <c r="EG421" s="46"/>
      <c r="EH421" s="46"/>
      <c r="EI421" s="46"/>
      <c r="EJ421" s="46"/>
      <c r="EK421" s="46"/>
      <c r="EL421" s="46"/>
      <c r="EM421" s="46"/>
      <c r="EN421" s="46"/>
      <c r="EO421" s="46"/>
      <c r="EP421" s="46"/>
      <c r="EQ421" s="46"/>
      <c r="ER421" s="46"/>
      <c r="ES421" s="46"/>
      <c r="ET421" s="46"/>
      <c r="EU421" s="46"/>
      <c r="EV421" s="46"/>
      <c r="EW421" s="46"/>
      <c r="EX421" s="46"/>
      <c r="EY421" s="46"/>
      <c r="EZ421" s="46"/>
      <c r="FA421" s="46"/>
      <c r="FB421" s="46"/>
      <c r="FC421" s="46"/>
      <c r="FD421" s="46"/>
      <c r="FE421" s="46"/>
      <c r="FF421" s="46"/>
      <c r="FG421" s="46"/>
      <c r="FH421" s="46"/>
      <c r="FI421" s="46"/>
      <c r="FJ421" s="46"/>
      <c r="FK421" s="46"/>
      <c r="FL421" s="46"/>
      <c r="FM421" s="46"/>
      <c r="FN421" s="46"/>
      <c r="FO421" s="46"/>
      <c r="FP421" s="46"/>
      <c r="FQ421" s="46"/>
      <c r="FR421" s="46"/>
      <c r="FS421" s="46"/>
      <c r="FT421" s="46"/>
      <c r="FU421" s="46"/>
      <c r="FV421" s="46"/>
      <c r="FW421" s="46"/>
      <c r="FX421" s="46"/>
      <c r="FY421" s="46"/>
      <c r="FZ421" s="46"/>
      <c r="GA421" s="46"/>
      <c r="GB421" s="46"/>
      <c r="GC421" s="46"/>
      <c r="GD421" s="46"/>
      <c r="GE421" s="46"/>
      <c r="GF421" s="46"/>
      <c r="GG421" s="46"/>
      <c r="GH421" s="46"/>
      <c r="GI421" s="46"/>
      <c r="GJ421" s="46"/>
      <c r="GK421" s="46"/>
      <c r="GL421" s="46"/>
      <c r="GM421" s="46"/>
      <c r="GN421" s="46"/>
      <c r="GO421" s="46"/>
      <c r="GP421" s="46"/>
    </row>
    <row r="422" spans="1:198" x14ac:dyDescent="0.2">
      <c r="A422" s="115" t="s">
        <v>179</v>
      </c>
      <c r="B422" s="68" t="s">
        <v>74</v>
      </c>
      <c r="C422" s="63">
        <v>4000000</v>
      </c>
      <c r="D422" s="62">
        <v>395560000</v>
      </c>
      <c r="G422" s="46"/>
      <c r="H422" s="47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46"/>
      <c r="DP422" s="46"/>
      <c r="DQ422" s="46"/>
      <c r="DR422" s="46"/>
      <c r="DS422" s="46"/>
      <c r="DT422" s="46"/>
      <c r="DU422" s="46"/>
      <c r="DV422" s="46"/>
      <c r="DW422" s="46"/>
      <c r="DX422" s="46"/>
      <c r="DY422" s="46"/>
      <c r="DZ422" s="46"/>
      <c r="EA422" s="46"/>
      <c r="EB422" s="46"/>
      <c r="EC422" s="46"/>
      <c r="ED422" s="46"/>
      <c r="EE422" s="46"/>
      <c r="EF422" s="46"/>
      <c r="EG422" s="46"/>
      <c r="EH422" s="46"/>
      <c r="EI422" s="46"/>
      <c r="EJ422" s="46"/>
      <c r="EK422" s="46"/>
      <c r="EL422" s="46"/>
      <c r="EM422" s="46"/>
      <c r="EN422" s="46"/>
      <c r="EO422" s="46"/>
      <c r="EP422" s="46"/>
      <c r="EQ422" s="46"/>
      <c r="ER422" s="46"/>
      <c r="ES422" s="46"/>
      <c r="ET422" s="46"/>
      <c r="EU422" s="46"/>
      <c r="EV422" s="46"/>
      <c r="EW422" s="46"/>
      <c r="EX422" s="46"/>
      <c r="EY422" s="46"/>
      <c r="EZ422" s="46"/>
      <c r="FA422" s="46"/>
      <c r="FB422" s="46"/>
      <c r="FC422" s="46"/>
      <c r="FD422" s="46"/>
      <c r="FE422" s="46"/>
      <c r="FF422" s="46"/>
      <c r="FG422" s="46"/>
      <c r="FH422" s="46"/>
      <c r="FI422" s="46"/>
      <c r="FJ422" s="46"/>
      <c r="FK422" s="46"/>
      <c r="FL422" s="46"/>
      <c r="FM422" s="46"/>
      <c r="FN422" s="46"/>
      <c r="FO422" s="46"/>
      <c r="FP422" s="46"/>
      <c r="FQ422" s="46"/>
      <c r="FR422" s="46"/>
      <c r="FS422" s="46"/>
      <c r="FT422" s="46"/>
      <c r="FU422" s="46"/>
      <c r="FV422" s="46"/>
      <c r="FW422" s="46"/>
      <c r="FX422" s="46"/>
      <c r="FY422" s="46"/>
      <c r="FZ422" s="46"/>
      <c r="GA422" s="46"/>
      <c r="GB422" s="46"/>
      <c r="GC422" s="46"/>
      <c r="GD422" s="46"/>
      <c r="GE422" s="46"/>
      <c r="GF422" s="46"/>
      <c r="GG422" s="46"/>
      <c r="GH422" s="46"/>
      <c r="GI422" s="46"/>
      <c r="GJ422" s="46"/>
      <c r="GK422" s="46"/>
      <c r="GL422" s="46"/>
      <c r="GM422" s="46"/>
      <c r="GN422" s="46"/>
      <c r="GO422" s="46"/>
      <c r="GP422" s="46"/>
    </row>
    <row r="423" spans="1:198" ht="15" x14ac:dyDescent="0.2">
      <c r="A423" s="115" t="s">
        <v>253</v>
      </c>
      <c r="B423" s="68" t="s">
        <v>74</v>
      </c>
      <c r="C423" s="63">
        <v>0</v>
      </c>
      <c r="D423" s="62">
        <v>0</v>
      </c>
      <c r="E423" s="16"/>
      <c r="F423" s="31"/>
      <c r="G423" s="46"/>
      <c r="H423" s="47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  <c r="CM423" s="46"/>
      <c r="CN423" s="46"/>
      <c r="CO423" s="46"/>
      <c r="CP423" s="46"/>
      <c r="CQ423" s="46"/>
      <c r="CR423" s="46"/>
      <c r="CS423" s="46"/>
      <c r="CT423" s="46"/>
      <c r="CU423" s="46"/>
      <c r="CV423" s="46"/>
      <c r="CW423" s="46"/>
      <c r="CX423" s="46"/>
      <c r="CY423" s="46"/>
      <c r="CZ423" s="46"/>
      <c r="DA423" s="46"/>
      <c r="DB423" s="46"/>
      <c r="DC423" s="46"/>
      <c r="DD423" s="46"/>
      <c r="DE423" s="46"/>
      <c r="DF423" s="46"/>
      <c r="DG423" s="46"/>
      <c r="DH423" s="46"/>
      <c r="DI423" s="46"/>
      <c r="DJ423" s="46"/>
      <c r="DK423" s="46"/>
      <c r="DL423" s="46"/>
      <c r="DM423" s="46"/>
      <c r="DN423" s="46"/>
      <c r="DO423" s="46"/>
      <c r="DP423" s="46"/>
      <c r="DQ423" s="46"/>
      <c r="DR423" s="46"/>
      <c r="DS423" s="46"/>
      <c r="DT423" s="46"/>
      <c r="DU423" s="46"/>
      <c r="DV423" s="46"/>
      <c r="DW423" s="46"/>
      <c r="DX423" s="46"/>
      <c r="DY423" s="46"/>
      <c r="DZ423" s="46"/>
      <c r="EA423" s="46"/>
      <c r="EB423" s="46"/>
      <c r="EC423" s="46"/>
      <c r="ED423" s="46"/>
      <c r="EE423" s="46"/>
      <c r="EF423" s="46"/>
      <c r="EG423" s="46"/>
      <c r="EH423" s="46"/>
      <c r="EI423" s="46"/>
      <c r="EJ423" s="46"/>
      <c r="EK423" s="46"/>
      <c r="EL423" s="46"/>
      <c r="EM423" s="46"/>
      <c r="EN423" s="46"/>
      <c r="EO423" s="46"/>
      <c r="EP423" s="46"/>
      <c r="EQ423" s="46"/>
      <c r="ER423" s="46"/>
      <c r="ES423" s="46"/>
      <c r="ET423" s="46"/>
      <c r="EU423" s="46"/>
      <c r="EV423" s="46"/>
      <c r="EW423" s="46"/>
      <c r="EX423" s="46"/>
      <c r="EY423" s="46"/>
      <c r="EZ423" s="46"/>
      <c r="FA423" s="46"/>
      <c r="FB423" s="46"/>
      <c r="FC423" s="46"/>
      <c r="FD423" s="46"/>
      <c r="FE423" s="46"/>
      <c r="FF423" s="46"/>
      <c r="FG423" s="46"/>
      <c r="FH423" s="46"/>
      <c r="FI423" s="46"/>
      <c r="FJ423" s="46"/>
      <c r="FK423" s="46"/>
      <c r="FL423" s="46"/>
      <c r="FM423" s="46"/>
      <c r="FN423" s="46"/>
      <c r="FO423" s="46"/>
      <c r="FP423" s="46"/>
      <c r="FQ423" s="46"/>
      <c r="FR423" s="46"/>
      <c r="FS423" s="46"/>
      <c r="FT423" s="46"/>
      <c r="FU423" s="46"/>
      <c r="FV423" s="46"/>
      <c r="FW423" s="46"/>
      <c r="FX423" s="46"/>
      <c r="FY423" s="46"/>
      <c r="FZ423" s="46"/>
      <c r="GA423" s="46"/>
      <c r="GB423" s="46"/>
      <c r="GC423" s="46"/>
      <c r="GD423" s="46"/>
      <c r="GE423" s="46"/>
      <c r="GF423" s="46"/>
      <c r="GG423" s="46"/>
      <c r="GH423" s="46"/>
      <c r="GI423" s="46"/>
      <c r="GJ423" s="46"/>
      <c r="GK423" s="46"/>
      <c r="GL423" s="46"/>
      <c r="GM423" s="46"/>
      <c r="GN423" s="46"/>
      <c r="GO423" s="46"/>
      <c r="GP423" s="46"/>
    </row>
    <row r="424" spans="1:198" ht="15" x14ac:dyDescent="0.2">
      <c r="A424" s="115" t="s">
        <v>313</v>
      </c>
      <c r="B424" s="68" t="s">
        <v>74</v>
      </c>
      <c r="C424" s="63">
        <v>19958097.559999999</v>
      </c>
      <c r="D424" s="62">
        <v>1973656267.7083998</v>
      </c>
      <c r="E424" s="16"/>
      <c r="F424" s="31"/>
      <c r="G424" s="46"/>
      <c r="H424" s="47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  <c r="EF424" s="46"/>
      <c r="EG424" s="46"/>
      <c r="EH424" s="46"/>
      <c r="EI424" s="46"/>
      <c r="EJ424" s="46"/>
      <c r="EK424" s="46"/>
      <c r="EL424" s="46"/>
      <c r="EM424" s="46"/>
      <c r="EN424" s="46"/>
      <c r="EO424" s="46"/>
      <c r="EP424" s="46"/>
      <c r="EQ424" s="46"/>
      <c r="ER424" s="46"/>
      <c r="ES424" s="46"/>
      <c r="ET424" s="46"/>
      <c r="EU424" s="46"/>
      <c r="EV424" s="46"/>
      <c r="EW424" s="46"/>
      <c r="EX424" s="46"/>
      <c r="EY424" s="46"/>
      <c r="EZ424" s="46"/>
      <c r="FA424" s="46"/>
      <c r="FB424" s="46"/>
      <c r="FC424" s="46"/>
      <c r="FD424" s="46"/>
      <c r="FE424" s="46"/>
      <c r="FF424" s="46"/>
      <c r="FG424" s="46"/>
      <c r="FH424" s="46"/>
      <c r="FI424" s="46"/>
      <c r="FJ424" s="46"/>
      <c r="FK424" s="46"/>
      <c r="FL424" s="46"/>
      <c r="FM424" s="46"/>
      <c r="FN424" s="46"/>
      <c r="FO424" s="46"/>
      <c r="FP424" s="46"/>
      <c r="FQ424" s="46"/>
      <c r="FR424" s="46"/>
      <c r="FS424" s="46"/>
      <c r="FT424" s="46"/>
      <c r="FU424" s="46"/>
      <c r="FV424" s="46"/>
      <c r="FW424" s="46"/>
      <c r="FX424" s="46"/>
      <c r="FY424" s="46"/>
      <c r="FZ424" s="46"/>
      <c r="GA424" s="46"/>
      <c r="GB424" s="46"/>
      <c r="GC424" s="46"/>
      <c r="GD424" s="46"/>
      <c r="GE424" s="46"/>
      <c r="GF424" s="46"/>
      <c r="GG424" s="46"/>
      <c r="GH424" s="46"/>
      <c r="GI424" s="46"/>
      <c r="GJ424" s="46"/>
      <c r="GK424" s="46"/>
      <c r="GL424" s="46"/>
      <c r="GM424" s="46"/>
      <c r="GN424" s="46"/>
      <c r="GO424" s="46"/>
      <c r="GP424" s="46"/>
    </row>
    <row r="425" spans="1:198" ht="15" x14ac:dyDescent="0.2">
      <c r="A425" s="115"/>
      <c r="B425" s="68"/>
      <c r="C425" s="63"/>
      <c r="D425" s="62"/>
      <c r="E425" s="16"/>
      <c r="F425" s="31"/>
      <c r="G425" s="165"/>
      <c r="H425" s="47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  <c r="EF425" s="46"/>
      <c r="EG425" s="46"/>
      <c r="EH425" s="46"/>
      <c r="EI425" s="46"/>
      <c r="EJ425" s="46"/>
      <c r="EK425" s="46"/>
      <c r="EL425" s="46"/>
      <c r="EM425" s="46"/>
      <c r="EN425" s="46"/>
      <c r="EO425" s="46"/>
      <c r="EP425" s="46"/>
      <c r="EQ425" s="46"/>
      <c r="ER425" s="46"/>
      <c r="ES425" s="46"/>
      <c r="ET425" s="46"/>
      <c r="EU425" s="46"/>
      <c r="EV425" s="46"/>
      <c r="EW425" s="46"/>
      <c r="EX425" s="46"/>
      <c r="EY425" s="46"/>
      <c r="EZ425" s="46"/>
      <c r="FA425" s="46"/>
      <c r="FB425" s="46"/>
      <c r="FC425" s="46"/>
      <c r="FD425" s="46"/>
      <c r="FE425" s="46"/>
      <c r="FF425" s="46"/>
      <c r="FG425" s="46"/>
      <c r="FH425" s="46"/>
      <c r="FI425" s="46"/>
      <c r="FJ425" s="46"/>
      <c r="FK425" s="46"/>
      <c r="FL425" s="46"/>
      <c r="FM425" s="46"/>
      <c r="FN425" s="46"/>
      <c r="FO425" s="46"/>
      <c r="FP425" s="46"/>
      <c r="FQ425" s="46"/>
      <c r="FR425" s="46"/>
      <c r="FS425" s="46"/>
      <c r="FT425" s="46"/>
      <c r="FU425" s="46"/>
      <c r="FV425" s="46"/>
      <c r="FW425" s="46"/>
      <c r="FX425" s="46"/>
      <c r="FY425" s="46"/>
      <c r="FZ425" s="46"/>
      <c r="GA425" s="46"/>
      <c r="GB425" s="46"/>
      <c r="GC425" s="46"/>
      <c r="GD425" s="46"/>
      <c r="GE425" s="46"/>
      <c r="GF425" s="46"/>
      <c r="GG425" s="46"/>
      <c r="GH425" s="46"/>
      <c r="GI425" s="46"/>
      <c r="GJ425" s="46"/>
      <c r="GK425" s="46"/>
      <c r="GL425" s="46"/>
      <c r="GM425" s="46"/>
      <c r="GN425" s="46"/>
      <c r="GO425" s="46"/>
      <c r="GP425" s="46"/>
    </row>
    <row r="426" spans="1:198" x14ac:dyDescent="0.2">
      <c r="A426" s="115" t="s">
        <v>94</v>
      </c>
      <c r="B426" s="26"/>
      <c r="C426" s="64"/>
      <c r="D426" s="22">
        <v>3091966688.4083996</v>
      </c>
      <c r="E426" s="20"/>
      <c r="F426" s="35"/>
      <c r="G426" s="165"/>
      <c r="H426" s="47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  <c r="EO426" s="46"/>
      <c r="EP426" s="46"/>
      <c r="EQ426" s="46"/>
      <c r="ER426" s="46"/>
      <c r="ES426" s="46"/>
      <c r="ET426" s="46"/>
      <c r="EU426" s="46"/>
      <c r="EV426" s="46"/>
      <c r="EW426" s="46"/>
      <c r="EX426" s="46"/>
      <c r="EY426" s="46"/>
      <c r="EZ426" s="46"/>
      <c r="FA426" s="46"/>
      <c r="FB426" s="46"/>
      <c r="FC426" s="46"/>
      <c r="FD426" s="46"/>
      <c r="FE426" s="46"/>
      <c r="FF426" s="46"/>
      <c r="FG426" s="46"/>
      <c r="FH426" s="46"/>
      <c r="FI426" s="46"/>
      <c r="FJ426" s="46"/>
      <c r="FK426" s="46"/>
      <c r="FL426" s="46"/>
      <c r="FM426" s="46"/>
      <c r="FN426" s="46"/>
      <c r="FO426" s="46"/>
      <c r="FP426" s="46"/>
      <c r="FQ426" s="46"/>
      <c r="FR426" s="46"/>
      <c r="FS426" s="46"/>
      <c r="FT426" s="46"/>
      <c r="FU426" s="46"/>
      <c r="FV426" s="46"/>
      <c r="FW426" s="46"/>
      <c r="FX426" s="46"/>
      <c r="FY426" s="46"/>
      <c r="FZ426" s="46"/>
      <c r="GA426" s="46"/>
      <c r="GB426" s="46"/>
      <c r="GC426" s="46"/>
      <c r="GD426" s="46"/>
      <c r="GE426" s="46"/>
      <c r="GF426" s="46"/>
      <c r="GG426" s="46"/>
      <c r="GH426" s="46"/>
      <c r="GI426" s="46"/>
      <c r="GJ426" s="46"/>
      <c r="GK426" s="46"/>
      <c r="GL426" s="46"/>
      <c r="GM426" s="46"/>
      <c r="GN426" s="46"/>
      <c r="GO426" s="46"/>
      <c r="GP426" s="46"/>
    </row>
    <row r="427" spans="1:198" x14ac:dyDescent="0.2">
      <c r="A427" s="100"/>
      <c r="B427" s="91"/>
      <c r="C427" s="92"/>
      <c r="D427" s="93"/>
      <c r="E427" s="20"/>
      <c r="F427" s="35"/>
      <c r="G427" s="46"/>
      <c r="H427" s="47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  <c r="EF427" s="46"/>
      <c r="EG427" s="46"/>
      <c r="EH427" s="46"/>
      <c r="EI427" s="46"/>
      <c r="EJ427" s="46"/>
      <c r="EK427" s="46"/>
      <c r="EL427" s="46"/>
      <c r="EM427" s="46"/>
      <c r="EN427" s="46"/>
      <c r="EO427" s="46"/>
      <c r="EP427" s="46"/>
      <c r="EQ427" s="46"/>
      <c r="ER427" s="46"/>
      <c r="ES427" s="46"/>
      <c r="ET427" s="46"/>
      <c r="EU427" s="46"/>
      <c r="EV427" s="46"/>
      <c r="EW427" s="46"/>
      <c r="EX427" s="46"/>
      <c r="EY427" s="46"/>
      <c r="EZ427" s="46"/>
      <c r="FA427" s="46"/>
      <c r="FB427" s="46"/>
      <c r="FC427" s="46"/>
      <c r="FD427" s="46"/>
      <c r="FE427" s="46"/>
      <c r="FF427" s="46"/>
      <c r="FG427" s="46"/>
      <c r="FH427" s="46"/>
      <c r="FI427" s="46"/>
      <c r="FJ427" s="46"/>
      <c r="FK427" s="46"/>
      <c r="FL427" s="46"/>
      <c r="FM427" s="46"/>
      <c r="FN427" s="46"/>
      <c r="FO427" s="46"/>
      <c r="FP427" s="46"/>
      <c r="FQ427" s="46"/>
      <c r="FR427" s="46"/>
      <c r="FS427" s="46"/>
      <c r="FT427" s="46"/>
      <c r="FU427" s="46"/>
      <c r="FV427" s="46"/>
      <c r="FW427" s="46"/>
      <c r="FX427" s="46"/>
      <c r="FY427" s="46"/>
      <c r="FZ427" s="46"/>
      <c r="GA427" s="46"/>
      <c r="GB427" s="46"/>
      <c r="GC427" s="46"/>
      <c r="GD427" s="46"/>
      <c r="GE427" s="46"/>
      <c r="GF427" s="46"/>
      <c r="GG427" s="46"/>
      <c r="GH427" s="46"/>
      <c r="GI427" s="46"/>
      <c r="GJ427" s="46"/>
      <c r="GK427" s="46"/>
      <c r="GL427" s="46"/>
      <c r="GM427" s="46"/>
      <c r="GN427" s="46"/>
      <c r="GO427" s="46"/>
      <c r="GP427" s="46"/>
    </row>
    <row r="428" spans="1:198" s="46" customFormat="1" ht="15" x14ac:dyDescent="0.2">
      <c r="A428" s="61" t="s">
        <v>254</v>
      </c>
      <c r="B428" s="73"/>
      <c r="C428" s="74"/>
      <c r="D428" s="79"/>
      <c r="E428" s="44"/>
      <c r="F428" s="195"/>
      <c r="H428" s="47"/>
    </row>
    <row r="429" spans="1:198" ht="15" x14ac:dyDescent="0.2">
      <c r="A429" s="61" t="s">
        <v>255</v>
      </c>
      <c r="B429" s="68" t="s">
        <v>97</v>
      </c>
      <c r="C429" s="63">
        <v>425531.06</v>
      </c>
      <c r="D429" s="62">
        <v>54033933.998800002</v>
      </c>
      <c r="E429" s="16">
        <f>1276593.02-48021.42-48298.99</f>
        <v>1180272.6100000001</v>
      </c>
      <c r="F429" s="35"/>
      <c r="G429" s="46"/>
      <c r="H429" s="47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  <c r="EF429" s="46"/>
      <c r="EG429" s="46"/>
      <c r="EH429" s="46"/>
      <c r="EI429" s="46"/>
      <c r="EJ429" s="46"/>
      <c r="EK429" s="46"/>
      <c r="EL429" s="46"/>
      <c r="EM429" s="46"/>
      <c r="EN429" s="46"/>
      <c r="EO429" s="46"/>
      <c r="EP429" s="46"/>
      <c r="EQ429" s="46"/>
      <c r="ER429" s="46"/>
      <c r="ES429" s="46"/>
      <c r="ET429" s="46"/>
      <c r="EU429" s="46"/>
      <c r="EV429" s="46"/>
      <c r="EW429" s="46"/>
      <c r="EX429" s="46"/>
      <c r="EY429" s="46"/>
      <c r="EZ429" s="46"/>
      <c r="FA429" s="46"/>
      <c r="FB429" s="46"/>
      <c r="FC429" s="46"/>
      <c r="FD429" s="46"/>
      <c r="FE429" s="46"/>
      <c r="FF429" s="46"/>
      <c r="FG429" s="46"/>
      <c r="FH429" s="46"/>
      <c r="FI429" s="46"/>
      <c r="FJ429" s="46"/>
      <c r="FK429" s="46"/>
      <c r="FL429" s="46"/>
      <c r="FM429" s="46"/>
      <c r="FN429" s="46"/>
      <c r="FO429" s="46"/>
      <c r="FP429" s="46"/>
      <c r="FQ429" s="46"/>
      <c r="FR429" s="46"/>
      <c r="FS429" s="46"/>
      <c r="FT429" s="46"/>
      <c r="FU429" s="46"/>
      <c r="FV429" s="46"/>
      <c r="FW429" s="46"/>
      <c r="FX429" s="46"/>
      <c r="FY429" s="46"/>
      <c r="FZ429" s="46"/>
      <c r="GA429" s="46"/>
      <c r="GB429" s="46"/>
      <c r="GC429" s="46"/>
      <c r="GD429" s="46"/>
      <c r="GE429" s="46"/>
      <c r="GF429" s="46"/>
      <c r="GG429" s="46"/>
      <c r="GH429" s="46"/>
      <c r="GI429" s="46"/>
      <c r="GJ429" s="46"/>
      <c r="GK429" s="46"/>
      <c r="GL429" s="46"/>
      <c r="GM429" s="46"/>
      <c r="GN429" s="46"/>
      <c r="GO429" s="46"/>
      <c r="GP429" s="46"/>
    </row>
    <row r="430" spans="1:198" ht="15.75" customHeight="1" x14ac:dyDescent="0.2">
      <c r="A430" s="61" t="s">
        <v>265</v>
      </c>
      <c r="B430" s="68" t="s">
        <v>97</v>
      </c>
      <c r="C430" s="63">
        <v>397120.75</v>
      </c>
      <c r="D430" s="62">
        <v>50426392.835000001</v>
      </c>
      <c r="E430" s="16">
        <f>1191362.15-44815.32-45074.37</f>
        <v>1101472.4599999997</v>
      </c>
      <c r="F430" s="35"/>
      <c r="G430" s="46"/>
      <c r="H430" s="47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  <c r="EF430" s="46"/>
      <c r="EG430" s="46"/>
      <c r="EH430" s="46"/>
      <c r="EI430" s="46"/>
      <c r="EJ430" s="46"/>
      <c r="EK430" s="46"/>
      <c r="EL430" s="46"/>
      <c r="EM430" s="46"/>
      <c r="EN430" s="46"/>
      <c r="EO430" s="46"/>
      <c r="EP430" s="46"/>
      <c r="EQ430" s="46"/>
      <c r="ER430" s="46"/>
      <c r="ES430" s="46"/>
      <c r="ET430" s="46"/>
      <c r="EU430" s="46"/>
      <c r="EV430" s="46"/>
      <c r="EW430" s="46"/>
      <c r="EX430" s="46"/>
      <c r="EY430" s="46"/>
      <c r="EZ430" s="46"/>
      <c r="FA430" s="46"/>
      <c r="FB430" s="46"/>
      <c r="FC430" s="46"/>
      <c r="FD430" s="46"/>
      <c r="FE430" s="46"/>
      <c r="FF430" s="46"/>
      <c r="FG430" s="46"/>
      <c r="FH430" s="46"/>
      <c r="FI430" s="46"/>
      <c r="FJ430" s="46"/>
      <c r="FK430" s="46"/>
      <c r="FL430" s="46"/>
      <c r="FM430" s="46"/>
      <c r="FN430" s="46"/>
      <c r="FO430" s="46"/>
      <c r="FP430" s="46"/>
      <c r="FQ430" s="46"/>
      <c r="FR430" s="46"/>
      <c r="FS430" s="46"/>
      <c r="FT430" s="46"/>
      <c r="FU430" s="46"/>
      <c r="FV430" s="46"/>
      <c r="FW430" s="46"/>
      <c r="FX430" s="46"/>
      <c r="FY430" s="46"/>
      <c r="FZ430" s="46"/>
      <c r="GA430" s="46"/>
      <c r="GB430" s="46"/>
      <c r="GC430" s="46"/>
      <c r="GD430" s="46"/>
      <c r="GE430" s="46"/>
      <c r="GF430" s="46"/>
      <c r="GG430" s="46"/>
      <c r="GH430" s="46"/>
      <c r="GI430" s="46"/>
      <c r="GJ430" s="46"/>
      <c r="GK430" s="46"/>
      <c r="GL430" s="46"/>
      <c r="GM430" s="46"/>
      <c r="GN430" s="46"/>
      <c r="GO430" s="46"/>
      <c r="GP430" s="46"/>
    </row>
    <row r="431" spans="1:198" ht="15" x14ac:dyDescent="0.2">
      <c r="A431" s="61" t="s">
        <v>256</v>
      </c>
      <c r="B431" s="68" t="s">
        <v>97</v>
      </c>
      <c r="C431" s="63">
        <v>224800</v>
      </c>
      <c r="D431" s="62">
        <v>28545104</v>
      </c>
      <c r="E431" s="16">
        <f>504100-16800</f>
        <v>487300</v>
      </c>
      <c r="F431" s="31"/>
      <c r="G431" s="46"/>
      <c r="H431" s="47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  <c r="EF431" s="46"/>
      <c r="EG431" s="46"/>
      <c r="EH431" s="46"/>
      <c r="EI431" s="46"/>
      <c r="EJ431" s="46"/>
      <c r="EK431" s="46"/>
      <c r="EL431" s="46"/>
      <c r="EM431" s="46"/>
      <c r="EN431" s="46"/>
      <c r="EO431" s="46"/>
      <c r="EP431" s="46"/>
      <c r="EQ431" s="46"/>
      <c r="ER431" s="46"/>
      <c r="ES431" s="46"/>
      <c r="ET431" s="46"/>
      <c r="EU431" s="46"/>
      <c r="EV431" s="46"/>
      <c r="EW431" s="46"/>
      <c r="EX431" s="46"/>
      <c r="EY431" s="46"/>
      <c r="EZ431" s="46"/>
      <c r="FA431" s="46"/>
      <c r="FB431" s="46"/>
      <c r="FC431" s="46"/>
      <c r="FD431" s="46"/>
      <c r="FE431" s="46"/>
      <c r="FF431" s="46"/>
      <c r="FG431" s="46"/>
      <c r="FH431" s="46"/>
      <c r="FI431" s="46"/>
      <c r="FJ431" s="46"/>
      <c r="FK431" s="46"/>
      <c r="FL431" s="46"/>
      <c r="FM431" s="46"/>
      <c r="FN431" s="46"/>
      <c r="FO431" s="46"/>
      <c r="FP431" s="46"/>
      <c r="FQ431" s="46"/>
      <c r="FR431" s="46"/>
      <c r="FS431" s="46"/>
      <c r="FT431" s="46"/>
      <c r="FU431" s="46"/>
      <c r="FV431" s="46"/>
      <c r="FW431" s="46"/>
      <c r="FX431" s="46"/>
      <c r="FY431" s="46"/>
      <c r="FZ431" s="46"/>
      <c r="GA431" s="46"/>
      <c r="GB431" s="46"/>
      <c r="GC431" s="46"/>
      <c r="GD431" s="46"/>
      <c r="GE431" s="46"/>
      <c r="GF431" s="46"/>
      <c r="GG431" s="46"/>
      <c r="GH431" s="46"/>
      <c r="GI431" s="46"/>
      <c r="GJ431" s="46"/>
      <c r="GK431" s="46"/>
      <c r="GL431" s="46"/>
      <c r="GM431" s="46"/>
      <c r="GN431" s="46"/>
      <c r="GO431" s="46"/>
      <c r="GP431" s="46"/>
    </row>
    <row r="432" spans="1:198" ht="15" x14ac:dyDescent="0.2">
      <c r="A432" s="61" t="s">
        <v>257</v>
      </c>
      <c r="B432" s="68" t="s">
        <v>97</v>
      </c>
      <c r="C432" s="63">
        <v>1052150.6200000001</v>
      </c>
      <c r="D432" s="62">
        <v>133602085.72760002</v>
      </c>
      <c r="E432" s="16">
        <f>1716177.93-40168-39916.94</f>
        <v>1636092.99</v>
      </c>
      <c r="F432" s="31"/>
      <c r="G432" s="46"/>
      <c r="H432" s="47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  <c r="CI432" s="46"/>
      <c r="CJ432" s="46"/>
      <c r="CK432" s="46"/>
      <c r="CL432" s="46"/>
      <c r="CM432" s="46"/>
      <c r="CN432" s="46"/>
      <c r="CO432" s="46"/>
      <c r="CP432" s="46"/>
      <c r="CQ432" s="46"/>
      <c r="CR432" s="46"/>
      <c r="CS432" s="46"/>
      <c r="CT432" s="46"/>
      <c r="CU432" s="46"/>
      <c r="CV432" s="46"/>
      <c r="CW432" s="46"/>
      <c r="CX432" s="46"/>
      <c r="CY432" s="46"/>
      <c r="CZ432" s="46"/>
      <c r="DA432" s="46"/>
      <c r="DB432" s="46"/>
      <c r="DC432" s="46"/>
      <c r="DD432" s="46"/>
      <c r="DE432" s="46"/>
      <c r="DF432" s="46"/>
      <c r="DG432" s="46"/>
      <c r="DH432" s="46"/>
      <c r="DI432" s="46"/>
      <c r="DJ432" s="46"/>
      <c r="DK432" s="46"/>
      <c r="DL432" s="46"/>
      <c r="DM432" s="46"/>
      <c r="DN432" s="46"/>
      <c r="DO432" s="46"/>
      <c r="DP432" s="46"/>
      <c r="DQ432" s="46"/>
      <c r="DR432" s="46"/>
      <c r="DS432" s="46"/>
      <c r="DT432" s="46"/>
      <c r="DU432" s="46"/>
      <c r="DV432" s="46"/>
      <c r="DW432" s="46"/>
      <c r="DX432" s="46"/>
      <c r="DY432" s="46"/>
      <c r="DZ432" s="46"/>
      <c r="EA432" s="46"/>
      <c r="EB432" s="46"/>
      <c r="EC432" s="46"/>
      <c r="ED432" s="46"/>
      <c r="EE432" s="46"/>
      <c r="EF432" s="46"/>
      <c r="EG432" s="46"/>
      <c r="EH432" s="46"/>
      <c r="EI432" s="46"/>
      <c r="EJ432" s="46"/>
      <c r="EK432" s="46"/>
      <c r="EL432" s="46"/>
      <c r="EM432" s="46"/>
      <c r="EN432" s="46"/>
      <c r="EO432" s="46"/>
      <c r="EP432" s="46"/>
      <c r="EQ432" s="46"/>
      <c r="ER432" s="46"/>
      <c r="ES432" s="46"/>
      <c r="ET432" s="46"/>
      <c r="EU432" s="46"/>
      <c r="EV432" s="46"/>
      <c r="EW432" s="46"/>
      <c r="EX432" s="46"/>
      <c r="EY432" s="46"/>
      <c r="EZ432" s="46"/>
      <c r="FA432" s="46"/>
      <c r="FB432" s="46"/>
      <c r="FC432" s="46"/>
      <c r="FD432" s="46"/>
      <c r="FE432" s="46"/>
      <c r="FF432" s="46"/>
      <c r="FG432" s="46"/>
      <c r="FH432" s="46"/>
      <c r="FI432" s="46"/>
      <c r="FJ432" s="46"/>
      <c r="FK432" s="46"/>
      <c r="FL432" s="46"/>
      <c r="FM432" s="46"/>
      <c r="FN432" s="46"/>
      <c r="FO432" s="46"/>
      <c r="FP432" s="46"/>
      <c r="FQ432" s="46"/>
      <c r="FR432" s="46"/>
      <c r="FS432" s="46"/>
      <c r="FT432" s="46"/>
      <c r="FU432" s="46"/>
      <c r="FV432" s="46"/>
      <c r="FW432" s="46"/>
      <c r="FX432" s="46"/>
      <c r="FY432" s="46"/>
      <c r="FZ432" s="46"/>
      <c r="GA432" s="46"/>
      <c r="GB432" s="46"/>
      <c r="GC432" s="46"/>
      <c r="GD432" s="46"/>
      <c r="GE432" s="46"/>
      <c r="GF432" s="46"/>
      <c r="GG432" s="46"/>
      <c r="GH432" s="46"/>
      <c r="GI432" s="46"/>
      <c r="GJ432" s="46"/>
      <c r="GK432" s="46"/>
      <c r="GL432" s="46"/>
      <c r="GM432" s="46"/>
      <c r="GN432" s="46"/>
      <c r="GO432" s="46"/>
      <c r="GP432" s="46"/>
    </row>
    <row r="433" spans="1:198" s="4" customFormat="1" ht="15" x14ac:dyDescent="0.2">
      <c r="A433" s="61" t="s">
        <v>258</v>
      </c>
      <c r="B433" s="68" t="s">
        <v>97</v>
      </c>
      <c r="C433" s="63">
        <v>4627070</v>
      </c>
      <c r="D433" s="62">
        <v>587545348.60000002</v>
      </c>
      <c r="E433" s="16">
        <f>6482300-105080-105080</f>
        <v>6272140</v>
      </c>
      <c r="F433" s="37" t="s">
        <v>153</v>
      </c>
      <c r="G433" s="46"/>
      <c r="H433" s="47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  <c r="CZ433" s="46"/>
      <c r="DA433" s="46"/>
      <c r="DB433" s="46"/>
      <c r="DC433" s="46"/>
      <c r="DD433" s="46"/>
      <c r="DE433" s="46"/>
      <c r="DF433" s="46"/>
      <c r="DG433" s="46"/>
      <c r="DH433" s="46"/>
      <c r="DI433" s="46"/>
      <c r="DJ433" s="46"/>
      <c r="DK433" s="46"/>
      <c r="DL433" s="46"/>
      <c r="DM433" s="46"/>
      <c r="DN433" s="46"/>
      <c r="DO433" s="46"/>
      <c r="DP433" s="46"/>
      <c r="DQ433" s="46"/>
      <c r="DR433" s="46"/>
      <c r="DS433" s="46"/>
      <c r="DT433" s="46"/>
      <c r="DU433" s="46"/>
      <c r="DV433" s="46"/>
      <c r="DW433" s="46"/>
      <c r="DX433" s="46"/>
      <c r="DY433" s="46"/>
      <c r="DZ433" s="46"/>
      <c r="EA433" s="46"/>
      <c r="EB433" s="46"/>
      <c r="EC433" s="46"/>
      <c r="ED433" s="46"/>
      <c r="EE433" s="46"/>
      <c r="EF433" s="46"/>
      <c r="EG433" s="46"/>
      <c r="EH433" s="46"/>
      <c r="EI433" s="46"/>
      <c r="EJ433" s="46"/>
      <c r="EK433" s="46"/>
      <c r="EL433" s="46"/>
      <c r="EM433" s="46"/>
      <c r="EN433" s="46"/>
      <c r="EO433" s="46"/>
      <c r="EP433" s="46"/>
      <c r="EQ433" s="46"/>
      <c r="ER433" s="46"/>
      <c r="ES433" s="46"/>
      <c r="ET433" s="46"/>
      <c r="EU433" s="46"/>
      <c r="EV433" s="46"/>
      <c r="EW433" s="46"/>
      <c r="EX433" s="46"/>
      <c r="EY433" s="46"/>
      <c r="EZ433" s="46"/>
      <c r="FA433" s="46"/>
      <c r="FB433" s="46"/>
      <c r="FC433" s="46"/>
      <c r="FD433" s="46"/>
      <c r="FE433" s="46"/>
      <c r="FF433" s="46"/>
      <c r="FG433" s="46"/>
      <c r="FH433" s="46"/>
      <c r="FI433" s="46"/>
      <c r="FJ433" s="46"/>
      <c r="FK433" s="46"/>
      <c r="FL433" s="46"/>
      <c r="FM433" s="46"/>
      <c r="FN433" s="46"/>
      <c r="FO433" s="46"/>
      <c r="FP433" s="46"/>
      <c r="FQ433" s="46"/>
      <c r="FR433" s="46"/>
      <c r="FS433" s="46"/>
      <c r="FT433" s="46"/>
      <c r="FU433" s="46"/>
      <c r="FV433" s="46"/>
      <c r="FW433" s="46"/>
      <c r="FX433" s="46"/>
      <c r="FY433" s="46"/>
      <c r="FZ433" s="46"/>
      <c r="GA433" s="46"/>
      <c r="GB433" s="46"/>
      <c r="GC433" s="46"/>
      <c r="GD433" s="46"/>
      <c r="GE433" s="46"/>
      <c r="GF433" s="46"/>
      <c r="GG433" s="46"/>
      <c r="GH433" s="46"/>
      <c r="GI433" s="46"/>
      <c r="GJ433" s="46"/>
      <c r="GK433" s="46"/>
      <c r="GL433" s="46"/>
      <c r="GM433" s="46"/>
      <c r="GN433" s="46"/>
      <c r="GO433" s="46"/>
      <c r="GP433" s="46"/>
    </row>
    <row r="434" spans="1:198" ht="15" x14ac:dyDescent="0.2">
      <c r="A434" s="61" t="s">
        <v>266</v>
      </c>
      <c r="B434" s="68" t="s">
        <v>97</v>
      </c>
      <c r="C434" s="63">
        <v>880583.39</v>
      </c>
      <c r="D434" s="62">
        <v>111816478.86220001</v>
      </c>
      <c r="E434" s="16">
        <f>1168025.71-18508.14</f>
        <v>1149517.57</v>
      </c>
      <c r="F434" s="31"/>
      <c r="G434" s="46"/>
      <c r="H434" s="47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46"/>
      <c r="DP434" s="46"/>
      <c r="DQ434" s="46"/>
      <c r="DR434" s="46"/>
      <c r="DS434" s="46"/>
      <c r="DT434" s="46"/>
      <c r="DU434" s="46"/>
      <c r="DV434" s="46"/>
      <c r="DW434" s="46"/>
      <c r="DX434" s="46"/>
      <c r="DY434" s="46"/>
      <c r="DZ434" s="46"/>
      <c r="EA434" s="46"/>
      <c r="EB434" s="46"/>
      <c r="EC434" s="46"/>
      <c r="ED434" s="46"/>
      <c r="EE434" s="46"/>
      <c r="EF434" s="46"/>
      <c r="EG434" s="46"/>
      <c r="EH434" s="46"/>
      <c r="EI434" s="46"/>
      <c r="EJ434" s="46"/>
      <c r="EK434" s="46"/>
      <c r="EL434" s="46"/>
      <c r="EM434" s="46"/>
      <c r="EN434" s="46"/>
      <c r="EO434" s="46"/>
      <c r="EP434" s="46"/>
      <c r="EQ434" s="46"/>
      <c r="ER434" s="46"/>
      <c r="ES434" s="46"/>
      <c r="ET434" s="46"/>
      <c r="EU434" s="46"/>
      <c r="EV434" s="46"/>
      <c r="EW434" s="46"/>
      <c r="EX434" s="46"/>
      <c r="EY434" s="46"/>
      <c r="EZ434" s="46"/>
      <c r="FA434" s="46"/>
      <c r="FB434" s="46"/>
      <c r="FC434" s="46"/>
      <c r="FD434" s="46"/>
      <c r="FE434" s="46"/>
      <c r="FF434" s="46"/>
      <c r="FG434" s="46"/>
      <c r="FH434" s="46"/>
      <c r="FI434" s="46"/>
      <c r="FJ434" s="46"/>
      <c r="FK434" s="46"/>
      <c r="FL434" s="46"/>
      <c r="FM434" s="46"/>
      <c r="FN434" s="46"/>
      <c r="FO434" s="46"/>
      <c r="FP434" s="46"/>
      <c r="FQ434" s="46"/>
      <c r="FR434" s="46"/>
      <c r="FS434" s="46"/>
      <c r="FT434" s="46"/>
      <c r="FU434" s="46"/>
      <c r="FV434" s="46"/>
      <c r="FW434" s="46"/>
      <c r="FX434" s="46"/>
      <c r="FY434" s="46"/>
      <c r="FZ434" s="46"/>
      <c r="GA434" s="46"/>
      <c r="GB434" s="46"/>
      <c r="GC434" s="46"/>
      <c r="GD434" s="46"/>
      <c r="GE434" s="46"/>
      <c r="GF434" s="46"/>
      <c r="GG434" s="46"/>
      <c r="GH434" s="46"/>
      <c r="GI434" s="46"/>
      <c r="GJ434" s="46"/>
      <c r="GK434" s="46"/>
      <c r="GL434" s="46"/>
      <c r="GM434" s="46"/>
      <c r="GN434" s="46"/>
      <c r="GO434" s="46"/>
      <c r="GP434" s="46"/>
    </row>
    <row r="435" spans="1:198" ht="15" x14ac:dyDescent="0.2">
      <c r="A435" s="61" t="s">
        <v>259</v>
      </c>
      <c r="B435" s="68" t="s">
        <v>97</v>
      </c>
      <c r="C435" s="63">
        <v>18662500</v>
      </c>
      <c r="D435" s="62">
        <v>2369764250</v>
      </c>
      <c r="E435" s="16">
        <f>24110627.09-359934.21</f>
        <v>23750692.879999999</v>
      </c>
      <c r="F435" s="31"/>
      <c r="G435" s="46"/>
      <c r="H435" s="47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  <c r="CI435" s="46"/>
      <c r="CJ435" s="46"/>
      <c r="CK435" s="46"/>
      <c r="CL435" s="46"/>
      <c r="CM435" s="46"/>
      <c r="CN435" s="46"/>
      <c r="CO435" s="46"/>
      <c r="CP435" s="46"/>
      <c r="CQ435" s="46"/>
      <c r="CR435" s="46"/>
      <c r="CS435" s="46"/>
      <c r="CT435" s="46"/>
      <c r="CU435" s="46"/>
      <c r="CV435" s="46"/>
      <c r="CW435" s="46"/>
      <c r="CX435" s="46"/>
      <c r="CY435" s="46"/>
      <c r="CZ435" s="46"/>
      <c r="DA435" s="46"/>
      <c r="DB435" s="46"/>
      <c r="DC435" s="46"/>
      <c r="DD435" s="46"/>
      <c r="DE435" s="46"/>
      <c r="DF435" s="46"/>
      <c r="DG435" s="46"/>
      <c r="DH435" s="46"/>
      <c r="DI435" s="46"/>
      <c r="DJ435" s="46"/>
      <c r="DK435" s="46"/>
      <c r="DL435" s="46"/>
      <c r="DM435" s="46"/>
      <c r="DN435" s="46"/>
      <c r="DO435" s="46"/>
      <c r="DP435" s="46"/>
      <c r="DQ435" s="46"/>
      <c r="DR435" s="46"/>
      <c r="DS435" s="46"/>
      <c r="DT435" s="46"/>
      <c r="DU435" s="46"/>
      <c r="DV435" s="46"/>
      <c r="DW435" s="46"/>
      <c r="DX435" s="46"/>
      <c r="DY435" s="46"/>
      <c r="DZ435" s="46"/>
      <c r="EA435" s="46"/>
      <c r="EB435" s="46"/>
      <c r="EC435" s="46"/>
      <c r="ED435" s="46"/>
      <c r="EE435" s="46"/>
      <c r="EF435" s="46"/>
      <c r="EG435" s="46"/>
      <c r="EH435" s="46"/>
      <c r="EI435" s="46"/>
      <c r="EJ435" s="46"/>
      <c r="EK435" s="46"/>
      <c r="EL435" s="46"/>
      <c r="EM435" s="46"/>
      <c r="EN435" s="46"/>
      <c r="EO435" s="46"/>
      <c r="EP435" s="46"/>
      <c r="EQ435" s="46"/>
      <c r="ER435" s="46"/>
      <c r="ES435" s="46"/>
      <c r="ET435" s="46"/>
      <c r="EU435" s="46"/>
      <c r="EV435" s="46"/>
      <c r="EW435" s="46"/>
      <c r="EX435" s="46"/>
      <c r="EY435" s="46"/>
      <c r="EZ435" s="46"/>
      <c r="FA435" s="46"/>
      <c r="FB435" s="46"/>
      <c r="FC435" s="46"/>
      <c r="FD435" s="46"/>
      <c r="FE435" s="46"/>
      <c r="FF435" s="46"/>
      <c r="FG435" s="46"/>
      <c r="FH435" s="46"/>
      <c r="FI435" s="46"/>
      <c r="FJ435" s="46"/>
      <c r="FK435" s="46"/>
      <c r="FL435" s="46"/>
      <c r="FM435" s="46"/>
      <c r="FN435" s="46"/>
      <c r="FO435" s="46"/>
      <c r="FP435" s="46"/>
      <c r="FQ435" s="46"/>
      <c r="FR435" s="46"/>
      <c r="FS435" s="46"/>
      <c r="FT435" s="46"/>
      <c r="FU435" s="46"/>
      <c r="FV435" s="46"/>
      <c r="FW435" s="46"/>
      <c r="FX435" s="46"/>
      <c r="FY435" s="46"/>
      <c r="FZ435" s="46"/>
      <c r="GA435" s="46"/>
      <c r="GB435" s="46"/>
      <c r="GC435" s="46"/>
      <c r="GD435" s="46"/>
      <c r="GE435" s="46"/>
      <c r="GF435" s="46"/>
      <c r="GG435" s="46"/>
      <c r="GH435" s="46"/>
      <c r="GI435" s="46"/>
      <c r="GJ435" s="46"/>
      <c r="GK435" s="46"/>
      <c r="GL435" s="46"/>
      <c r="GM435" s="46"/>
      <c r="GN435" s="46"/>
      <c r="GO435" s="46"/>
      <c r="GP435" s="46"/>
    </row>
    <row r="436" spans="1:198" ht="15" x14ac:dyDescent="0.2">
      <c r="A436" s="61" t="s">
        <v>260</v>
      </c>
      <c r="B436" s="68" t="s">
        <v>97</v>
      </c>
      <c r="C436" s="63">
        <v>4458490</v>
      </c>
      <c r="D436" s="62">
        <v>566139060.20000005</v>
      </c>
      <c r="E436" s="16">
        <f>5836480-88450</f>
        <v>5748030</v>
      </c>
      <c r="F436" s="31"/>
      <c r="G436" s="46"/>
      <c r="H436" s="47" t="s">
        <v>73</v>
      </c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  <c r="EO436" s="46"/>
      <c r="EP436" s="46"/>
      <c r="EQ436" s="46"/>
      <c r="ER436" s="46"/>
      <c r="ES436" s="46"/>
      <c r="ET436" s="46"/>
      <c r="EU436" s="46"/>
      <c r="EV436" s="46"/>
      <c r="EW436" s="46"/>
      <c r="EX436" s="46"/>
      <c r="EY436" s="46"/>
      <c r="EZ436" s="46"/>
      <c r="FA436" s="46"/>
      <c r="FB436" s="46"/>
      <c r="FC436" s="46"/>
      <c r="FD436" s="46"/>
      <c r="FE436" s="46"/>
      <c r="FF436" s="46"/>
      <c r="FG436" s="46"/>
      <c r="FH436" s="46"/>
      <c r="FI436" s="46"/>
      <c r="FJ436" s="46"/>
      <c r="FK436" s="46"/>
      <c r="FL436" s="46"/>
      <c r="FM436" s="46"/>
      <c r="FN436" s="46"/>
      <c r="FO436" s="46"/>
      <c r="FP436" s="46"/>
      <c r="FQ436" s="46"/>
      <c r="FR436" s="46"/>
      <c r="FS436" s="46"/>
      <c r="FT436" s="46"/>
      <c r="FU436" s="46"/>
      <c r="FV436" s="46"/>
      <c r="FW436" s="46"/>
      <c r="FX436" s="46"/>
      <c r="FY436" s="46"/>
      <c r="FZ436" s="46"/>
      <c r="GA436" s="46"/>
      <c r="GB436" s="46"/>
      <c r="GC436" s="46"/>
      <c r="GD436" s="46"/>
      <c r="GE436" s="46"/>
      <c r="GF436" s="46"/>
      <c r="GG436" s="46"/>
      <c r="GH436" s="46"/>
      <c r="GI436" s="46"/>
      <c r="GJ436" s="46"/>
      <c r="GK436" s="46"/>
      <c r="GL436" s="46"/>
      <c r="GM436" s="46"/>
      <c r="GN436" s="46"/>
      <c r="GO436" s="46"/>
      <c r="GP436" s="46"/>
    </row>
    <row r="437" spans="1:198" ht="15" x14ac:dyDescent="0.2">
      <c r="A437" s="61" t="s">
        <v>261</v>
      </c>
      <c r="B437" s="68" t="s">
        <v>97</v>
      </c>
      <c r="C437" s="63">
        <v>1068977</v>
      </c>
      <c r="D437" s="62">
        <v>135738699.46000001</v>
      </c>
      <c r="E437" s="16" t="s">
        <v>73</v>
      </c>
      <c r="F437" s="31"/>
      <c r="G437" s="46"/>
      <c r="H437" s="47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  <c r="EO437" s="46"/>
      <c r="EP437" s="46"/>
      <c r="EQ437" s="46"/>
      <c r="ER437" s="46"/>
      <c r="ES437" s="46"/>
      <c r="ET437" s="46"/>
      <c r="EU437" s="46"/>
      <c r="EV437" s="46"/>
      <c r="EW437" s="46"/>
      <c r="EX437" s="46"/>
      <c r="EY437" s="46"/>
      <c r="EZ437" s="46"/>
      <c r="FA437" s="46"/>
      <c r="FB437" s="46"/>
      <c r="FC437" s="46"/>
      <c r="FD437" s="46"/>
      <c r="FE437" s="46"/>
      <c r="FF437" s="46"/>
      <c r="FG437" s="46"/>
      <c r="FH437" s="46"/>
      <c r="FI437" s="46"/>
      <c r="FJ437" s="46"/>
      <c r="FK437" s="46"/>
      <c r="FL437" s="46"/>
      <c r="FM437" s="46"/>
      <c r="FN437" s="46"/>
      <c r="FO437" s="46"/>
      <c r="FP437" s="46"/>
      <c r="FQ437" s="46"/>
      <c r="FR437" s="46"/>
      <c r="FS437" s="46"/>
      <c r="FT437" s="46"/>
      <c r="FU437" s="46"/>
      <c r="FV437" s="46"/>
      <c r="FW437" s="46"/>
      <c r="FX437" s="46"/>
      <c r="FY437" s="46"/>
      <c r="FZ437" s="46"/>
      <c r="GA437" s="46"/>
      <c r="GB437" s="46"/>
      <c r="GC437" s="46"/>
      <c r="GD437" s="46"/>
      <c r="GE437" s="46"/>
      <c r="GF437" s="46"/>
      <c r="GG437" s="46"/>
      <c r="GH437" s="46"/>
      <c r="GI437" s="46"/>
      <c r="GJ437" s="46"/>
      <c r="GK437" s="46"/>
      <c r="GL437" s="46"/>
      <c r="GM437" s="46"/>
      <c r="GN437" s="46"/>
      <c r="GO437" s="46"/>
      <c r="GP437" s="46"/>
    </row>
    <row r="438" spans="1:198" ht="15" x14ac:dyDescent="0.2">
      <c r="A438" s="61"/>
      <c r="B438" s="26"/>
      <c r="C438" s="64"/>
      <c r="D438" s="116"/>
      <c r="E438" s="20"/>
      <c r="F438" s="31"/>
      <c r="G438" s="165"/>
      <c r="H438" s="47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  <c r="CZ438" s="46"/>
      <c r="DA438" s="46"/>
      <c r="DB438" s="46"/>
      <c r="DC438" s="46"/>
      <c r="DD438" s="46"/>
      <c r="DE438" s="46"/>
      <c r="DF438" s="46"/>
      <c r="DG438" s="46"/>
      <c r="DH438" s="46"/>
      <c r="DI438" s="46"/>
      <c r="DJ438" s="46"/>
      <c r="DK438" s="46"/>
      <c r="DL438" s="46"/>
      <c r="DM438" s="46"/>
      <c r="DN438" s="46"/>
      <c r="DO438" s="46"/>
      <c r="DP438" s="46"/>
      <c r="DQ438" s="46"/>
      <c r="DR438" s="46"/>
      <c r="DS438" s="46"/>
      <c r="DT438" s="46"/>
      <c r="DU438" s="46"/>
      <c r="DV438" s="46"/>
      <c r="DW438" s="46"/>
      <c r="DX438" s="46"/>
      <c r="DY438" s="46"/>
      <c r="DZ438" s="46"/>
      <c r="EA438" s="46"/>
      <c r="EB438" s="46"/>
      <c r="EC438" s="46"/>
      <c r="ED438" s="46"/>
      <c r="EE438" s="46"/>
      <c r="EF438" s="46"/>
      <c r="EG438" s="46"/>
      <c r="EH438" s="46"/>
      <c r="EI438" s="46"/>
      <c r="EJ438" s="46"/>
      <c r="EK438" s="46"/>
      <c r="EL438" s="46"/>
      <c r="EM438" s="46"/>
      <c r="EN438" s="46"/>
      <c r="EO438" s="46"/>
      <c r="EP438" s="46"/>
      <c r="EQ438" s="46"/>
      <c r="ER438" s="46"/>
      <c r="ES438" s="46"/>
      <c r="ET438" s="46"/>
      <c r="EU438" s="46"/>
      <c r="EV438" s="46"/>
      <c r="EW438" s="46"/>
      <c r="EX438" s="46"/>
      <c r="EY438" s="46"/>
      <c r="EZ438" s="46"/>
      <c r="FA438" s="46"/>
      <c r="FB438" s="46"/>
      <c r="FC438" s="46"/>
      <c r="FD438" s="46"/>
      <c r="FE438" s="46"/>
      <c r="FF438" s="46"/>
      <c r="FG438" s="46"/>
      <c r="FH438" s="46"/>
      <c r="FI438" s="46"/>
      <c r="FJ438" s="46"/>
      <c r="FK438" s="46"/>
      <c r="FL438" s="46"/>
      <c r="FM438" s="46"/>
      <c r="FN438" s="46"/>
      <c r="FO438" s="46"/>
      <c r="FP438" s="46"/>
      <c r="FQ438" s="46"/>
      <c r="FR438" s="46"/>
      <c r="FS438" s="46"/>
      <c r="FT438" s="46"/>
      <c r="FU438" s="46"/>
      <c r="FV438" s="46"/>
      <c r="FW438" s="46"/>
      <c r="FX438" s="46"/>
      <c r="FY438" s="46"/>
      <c r="FZ438" s="46"/>
      <c r="GA438" s="46"/>
      <c r="GB438" s="46"/>
      <c r="GC438" s="46"/>
      <c r="GD438" s="46"/>
      <c r="GE438" s="46"/>
      <c r="GF438" s="46"/>
      <c r="GG438" s="46"/>
      <c r="GH438" s="46"/>
      <c r="GI438" s="46"/>
      <c r="GJ438" s="46"/>
      <c r="GK438" s="46"/>
      <c r="GL438" s="46"/>
      <c r="GM438" s="46"/>
      <c r="GN438" s="46"/>
      <c r="GO438" s="46"/>
      <c r="GP438" s="46"/>
    </row>
    <row r="439" spans="1:198" ht="15" x14ac:dyDescent="0.2">
      <c r="A439" s="61" t="s">
        <v>263</v>
      </c>
      <c r="B439" s="26"/>
      <c r="C439" s="64"/>
      <c r="D439" s="22">
        <v>4037611353.6836004</v>
      </c>
      <c r="E439" s="20"/>
      <c r="F439" s="31"/>
      <c r="G439" s="165"/>
      <c r="H439" s="47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  <c r="EO439" s="46"/>
      <c r="EP439" s="46"/>
      <c r="EQ439" s="46"/>
      <c r="ER439" s="46"/>
      <c r="ES439" s="46"/>
      <c r="ET439" s="46"/>
      <c r="EU439" s="46"/>
      <c r="EV439" s="46"/>
      <c r="EW439" s="46"/>
      <c r="EX439" s="46"/>
      <c r="EY439" s="46"/>
      <c r="EZ439" s="46"/>
      <c r="FA439" s="46"/>
      <c r="FB439" s="46"/>
      <c r="FC439" s="46"/>
      <c r="FD439" s="46"/>
      <c r="FE439" s="46"/>
      <c r="FF439" s="46"/>
      <c r="FG439" s="46"/>
      <c r="FH439" s="46"/>
      <c r="FI439" s="46"/>
      <c r="FJ439" s="46"/>
      <c r="FK439" s="46"/>
      <c r="FL439" s="46"/>
      <c r="FM439" s="46"/>
      <c r="FN439" s="46"/>
      <c r="FO439" s="46"/>
      <c r="FP439" s="46"/>
      <c r="FQ439" s="46"/>
      <c r="FR439" s="46"/>
      <c r="FS439" s="46"/>
      <c r="FT439" s="46"/>
      <c r="FU439" s="46"/>
      <c r="FV439" s="46"/>
      <c r="FW439" s="46"/>
      <c r="FX439" s="46"/>
      <c r="FY439" s="46"/>
      <c r="FZ439" s="46"/>
      <c r="GA439" s="46"/>
      <c r="GB439" s="46"/>
      <c r="GC439" s="46"/>
      <c r="GD439" s="46"/>
      <c r="GE439" s="46"/>
      <c r="GF439" s="46"/>
      <c r="GG439" s="46"/>
      <c r="GH439" s="46"/>
      <c r="GI439" s="46"/>
      <c r="GJ439" s="46"/>
      <c r="GK439" s="46"/>
      <c r="GL439" s="46"/>
      <c r="GM439" s="46"/>
      <c r="GN439" s="46"/>
      <c r="GO439" s="46"/>
      <c r="GP439" s="46"/>
    </row>
    <row r="440" spans="1:198" ht="15" x14ac:dyDescent="0.2">
      <c r="A440" s="100"/>
      <c r="B440" s="91"/>
      <c r="C440" s="92"/>
      <c r="D440" s="93"/>
      <c r="E440" s="20"/>
      <c r="F440" s="31"/>
      <c r="G440" s="46"/>
      <c r="H440" s="47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  <c r="EF440" s="46"/>
      <c r="EG440" s="46"/>
      <c r="EH440" s="46"/>
      <c r="EI440" s="46"/>
      <c r="EJ440" s="46"/>
      <c r="EK440" s="46"/>
      <c r="EL440" s="46"/>
      <c r="EM440" s="46"/>
      <c r="EN440" s="46"/>
      <c r="EO440" s="46"/>
      <c r="EP440" s="46"/>
      <c r="EQ440" s="46"/>
      <c r="ER440" s="46"/>
      <c r="ES440" s="46"/>
      <c r="ET440" s="46"/>
      <c r="EU440" s="46"/>
      <c r="EV440" s="46"/>
      <c r="EW440" s="46"/>
      <c r="EX440" s="46"/>
      <c r="EY440" s="46"/>
      <c r="EZ440" s="46"/>
      <c r="FA440" s="46"/>
      <c r="FB440" s="46"/>
      <c r="FC440" s="46"/>
      <c r="FD440" s="46"/>
      <c r="FE440" s="46"/>
      <c r="FF440" s="46"/>
      <c r="FG440" s="46"/>
      <c r="FH440" s="46"/>
      <c r="FI440" s="46"/>
      <c r="FJ440" s="46"/>
      <c r="FK440" s="46"/>
      <c r="FL440" s="46"/>
      <c r="FM440" s="46"/>
      <c r="FN440" s="46"/>
      <c r="FO440" s="46"/>
      <c r="FP440" s="46"/>
      <c r="FQ440" s="46"/>
      <c r="FR440" s="46"/>
      <c r="FS440" s="46"/>
      <c r="FT440" s="46"/>
      <c r="FU440" s="46"/>
      <c r="FV440" s="46"/>
      <c r="FW440" s="46"/>
      <c r="FX440" s="46"/>
      <c r="FY440" s="46"/>
      <c r="FZ440" s="46"/>
      <c r="GA440" s="46"/>
      <c r="GB440" s="46"/>
      <c r="GC440" s="46"/>
      <c r="GD440" s="46"/>
      <c r="GE440" s="46"/>
      <c r="GF440" s="46"/>
      <c r="GG440" s="46"/>
      <c r="GH440" s="46"/>
      <c r="GI440" s="46"/>
      <c r="GJ440" s="46"/>
      <c r="GK440" s="46"/>
      <c r="GL440" s="46"/>
      <c r="GM440" s="46"/>
      <c r="GN440" s="46"/>
      <c r="GO440" s="46"/>
      <c r="GP440" s="46"/>
    </row>
    <row r="441" spans="1:198" s="46" customFormat="1" ht="15" x14ac:dyDescent="0.2">
      <c r="A441" s="61" t="s">
        <v>262</v>
      </c>
      <c r="B441" s="196"/>
      <c r="C441" s="161"/>
      <c r="D441" s="117"/>
      <c r="E441" s="197"/>
      <c r="F441" s="45"/>
      <c r="H441" s="47"/>
    </row>
    <row r="442" spans="1:198" s="46" customFormat="1" ht="15" x14ac:dyDescent="0.2">
      <c r="A442" s="61" t="s">
        <v>277</v>
      </c>
      <c r="B442" s="68" t="s">
        <v>97</v>
      </c>
      <c r="C442" s="63">
        <v>714500</v>
      </c>
      <c r="D442" s="62">
        <v>90727210</v>
      </c>
      <c r="E442" s="197"/>
      <c r="F442" s="45"/>
      <c r="H442" s="47"/>
    </row>
    <row r="443" spans="1:198" ht="15" x14ac:dyDescent="0.2">
      <c r="A443" s="76"/>
      <c r="B443" s="86"/>
      <c r="C443" s="74"/>
      <c r="D443" s="75"/>
      <c r="E443" s="16"/>
      <c r="F443" s="31"/>
      <c r="G443" s="165"/>
      <c r="H443" s="47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  <c r="CZ443" s="46"/>
      <c r="DA443" s="46"/>
      <c r="DB443" s="46"/>
      <c r="DC443" s="46"/>
      <c r="DD443" s="46"/>
      <c r="DE443" s="46"/>
      <c r="DF443" s="46"/>
      <c r="DG443" s="46"/>
      <c r="DH443" s="46"/>
      <c r="DI443" s="46"/>
      <c r="DJ443" s="46"/>
      <c r="DK443" s="46"/>
      <c r="DL443" s="46"/>
      <c r="DM443" s="46"/>
      <c r="DN443" s="46"/>
      <c r="DO443" s="46"/>
      <c r="DP443" s="46"/>
      <c r="DQ443" s="46"/>
      <c r="DR443" s="46"/>
      <c r="DS443" s="46"/>
      <c r="DT443" s="46"/>
      <c r="DU443" s="46"/>
      <c r="DV443" s="46"/>
      <c r="DW443" s="46"/>
      <c r="DX443" s="46"/>
      <c r="DY443" s="46"/>
      <c r="DZ443" s="46"/>
      <c r="EA443" s="46"/>
      <c r="EB443" s="46"/>
      <c r="EC443" s="46"/>
      <c r="ED443" s="46"/>
      <c r="EE443" s="46"/>
      <c r="EF443" s="46"/>
      <c r="EG443" s="46"/>
      <c r="EH443" s="46"/>
      <c r="EI443" s="46"/>
      <c r="EJ443" s="46"/>
      <c r="EK443" s="46"/>
      <c r="EL443" s="46"/>
      <c r="EM443" s="46"/>
      <c r="EN443" s="46"/>
      <c r="EO443" s="46"/>
      <c r="EP443" s="46"/>
      <c r="EQ443" s="46"/>
      <c r="ER443" s="46"/>
      <c r="ES443" s="46"/>
      <c r="ET443" s="46"/>
      <c r="EU443" s="46"/>
      <c r="EV443" s="46"/>
      <c r="EW443" s="46"/>
      <c r="EX443" s="46"/>
      <c r="EY443" s="46"/>
      <c r="EZ443" s="46"/>
      <c r="FA443" s="46"/>
      <c r="FB443" s="46"/>
      <c r="FC443" s="46"/>
      <c r="FD443" s="46"/>
      <c r="FE443" s="46"/>
      <c r="FF443" s="46"/>
      <c r="FG443" s="46"/>
      <c r="FH443" s="46"/>
      <c r="FI443" s="46"/>
      <c r="FJ443" s="46"/>
      <c r="FK443" s="46"/>
      <c r="FL443" s="46"/>
      <c r="FM443" s="46"/>
      <c r="FN443" s="46"/>
      <c r="FO443" s="46"/>
      <c r="FP443" s="46"/>
      <c r="FQ443" s="46"/>
      <c r="FR443" s="46"/>
      <c r="FS443" s="46"/>
      <c r="FT443" s="46"/>
      <c r="FU443" s="46"/>
      <c r="FV443" s="46"/>
      <c r="FW443" s="46"/>
      <c r="FX443" s="46"/>
      <c r="FY443" s="46"/>
      <c r="FZ443" s="46"/>
      <c r="GA443" s="46"/>
      <c r="GB443" s="46"/>
      <c r="GC443" s="46"/>
      <c r="GD443" s="46"/>
      <c r="GE443" s="46"/>
      <c r="GF443" s="46"/>
      <c r="GG443" s="46"/>
      <c r="GH443" s="46"/>
      <c r="GI443" s="46"/>
      <c r="GJ443" s="46"/>
      <c r="GK443" s="46"/>
      <c r="GL443" s="46"/>
      <c r="GM443" s="46"/>
      <c r="GN443" s="46"/>
      <c r="GO443" s="46"/>
      <c r="GP443" s="46"/>
    </row>
    <row r="444" spans="1:198" ht="15" x14ac:dyDescent="0.2">
      <c r="A444" s="61" t="s">
        <v>54</v>
      </c>
      <c r="B444" s="123"/>
      <c r="C444" s="63"/>
      <c r="D444" s="110">
        <v>90727210</v>
      </c>
      <c r="E444" s="16"/>
      <c r="F444" s="31"/>
      <c r="G444" s="165"/>
      <c r="H444" s="47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46"/>
      <c r="DP444" s="46"/>
      <c r="DQ444" s="46"/>
      <c r="DR444" s="46"/>
      <c r="DS444" s="46"/>
      <c r="DT444" s="46"/>
      <c r="DU444" s="46"/>
      <c r="DV444" s="46"/>
      <c r="DW444" s="46"/>
      <c r="DX444" s="46"/>
      <c r="DY444" s="46"/>
      <c r="DZ444" s="46"/>
      <c r="EA444" s="46"/>
      <c r="EB444" s="46"/>
      <c r="EC444" s="46"/>
      <c r="ED444" s="46"/>
      <c r="EE444" s="46"/>
      <c r="EF444" s="46"/>
      <c r="EG444" s="46"/>
      <c r="EH444" s="46"/>
      <c r="EI444" s="46"/>
      <c r="EJ444" s="46"/>
      <c r="EK444" s="46"/>
      <c r="EL444" s="46"/>
      <c r="EM444" s="46"/>
      <c r="EN444" s="46"/>
      <c r="EO444" s="46"/>
      <c r="EP444" s="46"/>
      <c r="EQ444" s="46"/>
      <c r="ER444" s="46"/>
      <c r="ES444" s="46"/>
      <c r="ET444" s="46"/>
      <c r="EU444" s="46"/>
      <c r="EV444" s="46"/>
      <c r="EW444" s="46"/>
      <c r="EX444" s="46"/>
      <c r="EY444" s="46"/>
      <c r="EZ444" s="46"/>
      <c r="FA444" s="46"/>
      <c r="FB444" s="46"/>
      <c r="FC444" s="46"/>
      <c r="FD444" s="46"/>
      <c r="FE444" s="46"/>
      <c r="FF444" s="46"/>
      <c r="FG444" s="46"/>
      <c r="FH444" s="46"/>
      <c r="FI444" s="46"/>
      <c r="FJ444" s="46"/>
      <c r="FK444" s="46"/>
      <c r="FL444" s="46"/>
      <c r="FM444" s="46"/>
      <c r="FN444" s="46"/>
      <c r="FO444" s="46"/>
      <c r="FP444" s="46"/>
      <c r="FQ444" s="46"/>
      <c r="FR444" s="46"/>
      <c r="FS444" s="46"/>
      <c r="FT444" s="46"/>
      <c r="FU444" s="46"/>
      <c r="FV444" s="46"/>
      <c r="FW444" s="46"/>
      <c r="FX444" s="46"/>
      <c r="FY444" s="46"/>
      <c r="FZ444" s="46"/>
      <c r="GA444" s="46"/>
      <c r="GB444" s="46"/>
      <c r="GC444" s="46"/>
      <c r="GD444" s="46"/>
      <c r="GE444" s="46"/>
      <c r="GF444" s="46"/>
      <c r="GG444" s="46"/>
      <c r="GH444" s="46"/>
      <c r="GI444" s="46"/>
      <c r="GJ444" s="46"/>
      <c r="GK444" s="46"/>
      <c r="GL444" s="46"/>
      <c r="GM444" s="46"/>
      <c r="GN444" s="46"/>
      <c r="GO444" s="46"/>
      <c r="GP444" s="46"/>
    </row>
    <row r="445" spans="1:198" ht="15" x14ac:dyDescent="0.2">
      <c r="A445" s="100"/>
      <c r="B445" s="91"/>
      <c r="C445" s="92"/>
      <c r="D445" s="93"/>
      <c r="E445" s="16"/>
      <c r="F445" s="31"/>
      <c r="G445" s="46"/>
      <c r="H445" s="47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  <c r="EF445" s="46"/>
      <c r="EG445" s="46"/>
      <c r="EH445" s="46"/>
      <c r="EI445" s="46"/>
      <c r="EJ445" s="46"/>
      <c r="EK445" s="46"/>
      <c r="EL445" s="46"/>
      <c r="EM445" s="46"/>
      <c r="EN445" s="46"/>
      <c r="EO445" s="46"/>
      <c r="EP445" s="46"/>
      <c r="EQ445" s="46"/>
      <c r="ER445" s="46"/>
      <c r="ES445" s="46"/>
      <c r="ET445" s="46"/>
      <c r="EU445" s="46"/>
      <c r="EV445" s="46"/>
      <c r="EW445" s="46"/>
      <c r="EX445" s="46"/>
      <c r="EY445" s="46"/>
      <c r="EZ445" s="46"/>
      <c r="FA445" s="46"/>
      <c r="FB445" s="46"/>
      <c r="FC445" s="46"/>
      <c r="FD445" s="46"/>
      <c r="FE445" s="46"/>
      <c r="FF445" s="46"/>
      <c r="FG445" s="46"/>
      <c r="FH445" s="46"/>
      <c r="FI445" s="46"/>
      <c r="FJ445" s="46"/>
      <c r="FK445" s="46"/>
      <c r="FL445" s="46"/>
      <c r="FM445" s="46"/>
      <c r="FN445" s="46"/>
      <c r="FO445" s="46"/>
      <c r="FP445" s="46"/>
      <c r="FQ445" s="46"/>
      <c r="FR445" s="46"/>
      <c r="FS445" s="46"/>
      <c r="FT445" s="46"/>
      <c r="FU445" s="46"/>
      <c r="FV445" s="46"/>
      <c r="FW445" s="46"/>
      <c r="FX445" s="46"/>
      <c r="FY445" s="46"/>
      <c r="FZ445" s="46"/>
      <c r="GA445" s="46"/>
      <c r="GB445" s="46"/>
      <c r="GC445" s="46"/>
      <c r="GD445" s="46"/>
      <c r="GE445" s="46"/>
      <c r="GF445" s="46"/>
      <c r="GG445" s="46"/>
      <c r="GH445" s="46"/>
      <c r="GI445" s="46"/>
      <c r="GJ445" s="46"/>
      <c r="GK445" s="46"/>
      <c r="GL445" s="46"/>
      <c r="GM445" s="46"/>
      <c r="GN445" s="46"/>
      <c r="GO445" s="46"/>
      <c r="GP445" s="46"/>
    </row>
    <row r="446" spans="1:198" s="46" customFormat="1" ht="15" x14ac:dyDescent="0.2">
      <c r="A446" s="115" t="s">
        <v>264</v>
      </c>
      <c r="B446" s="196"/>
      <c r="C446" s="161"/>
      <c r="D446" s="117"/>
      <c r="E446" s="44"/>
      <c r="F446" s="45"/>
      <c r="H446" s="47"/>
    </row>
    <row r="447" spans="1:198" ht="15" x14ac:dyDescent="0.2">
      <c r="A447" s="115" t="s">
        <v>66</v>
      </c>
      <c r="B447" s="68" t="s">
        <v>65</v>
      </c>
      <c r="C447" s="63">
        <v>1600000</v>
      </c>
      <c r="D447" s="62">
        <v>237392000</v>
      </c>
      <c r="E447" s="16"/>
      <c r="F447" s="31"/>
      <c r="G447" s="46"/>
      <c r="H447" s="47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  <c r="EO447" s="46"/>
      <c r="EP447" s="46"/>
      <c r="EQ447" s="46"/>
      <c r="ER447" s="46"/>
      <c r="ES447" s="46"/>
      <c r="ET447" s="46"/>
      <c r="EU447" s="46"/>
      <c r="EV447" s="46"/>
      <c r="EW447" s="46"/>
      <c r="EX447" s="46"/>
      <c r="EY447" s="46"/>
      <c r="EZ447" s="46"/>
      <c r="FA447" s="46"/>
      <c r="FB447" s="46"/>
      <c r="FC447" s="46"/>
      <c r="FD447" s="46"/>
      <c r="FE447" s="46"/>
      <c r="FF447" s="46"/>
      <c r="FG447" s="46"/>
      <c r="FH447" s="46"/>
      <c r="FI447" s="46"/>
      <c r="FJ447" s="46"/>
      <c r="FK447" s="46"/>
      <c r="FL447" s="46"/>
      <c r="FM447" s="46"/>
      <c r="FN447" s="46"/>
      <c r="FO447" s="46"/>
      <c r="FP447" s="46"/>
      <c r="FQ447" s="46"/>
      <c r="FR447" s="46"/>
      <c r="FS447" s="46"/>
      <c r="FT447" s="46"/>
      <c r="FU447" s="46"/>
      <c r="FV447" s="46"/>
      <c r="FW447" s="46"/>
      <c r="FX447" s="46"/>
      <c r="FY447" s="46"/>
      <c r="FZ447" s="46"/>
      <c r="GA447" s="46"/>
      <c r="GB447" s="46"/>
      <c r="GC447" s="46"/>
      <c r="GD447" s="46"/>
      <c r="GE447" s="46"/>
      <c r="GF447" s="46"/>
      <c r="GG447" s="46"/>
      <c r="GH447" s="46"/>
      <c r="GI447" s="46"/>
      <c r="GJ447" s="46"/>
      <c r="GK447" s="46"/>
      <c r="GL447" s="46"/>
      <c r="GM447" s="46"/>
      <c r="GN447" s="46"/>
      <c r="GO447" s="46"/>
      <c r="GP447" s="46"/>
    </row>
    <row r="448" spans="1:198" ht="15" x14ac:dyDescent="0.2">
      <c r="A448" s="115" t="s">
        <v>67</v>
      </c>
      <c r="B448" s="68" t="s">
        <v>65</v>
      </c>
      <c r="C448" s="63">
        <v>1527283.83</v>
      </c>
      <c r="D448" s="62">
        <v>226603101.85710001</v>
      </c>
      <c r="E448" s="16">
        <f>1821699.99-18401.01-18401.01</f>
        <v>1784897.97</v>
      </c>
      <c r="F448" s="31"/>
      <c r="G448" s="46"/>
      <c r="H448" s="47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  <c r="EF448" s="46"/>
      <c r="EG448" s="46"/>
      <c r="EH448" s="46"/>
      <c r="EI448" s="46"/>
      <c r="EJ448" s="46"/>
      <c r="EK448" s="46"/>
      <c r="EL448" s="46"/>
      <c r="EM448" s="46"/>
      <c r="EN448" s="46"/>
      <c r="EO448" s="46"/>
      <c r="EP448" s="46"/>
      <c r="EQ448" s="46"/>
      <c r="ER448" s="46"/>
      <c r="ES448" s="46"/>
      <c r="ET448" s="46"/>
      <c r="EU448" s="46"/>
      <c r="EV448" s="46"/>
      <c r="EW448" s="46"/>
      <c r="EX448" s="46"/>
      <c r="EY448" s="46"/>
      <c r="EZ448" s="46"/>
      <c r="FA448" s="46"/>
      <c r="FB448" s="46"/>
      <c r="FC448" s="46"/>
      <c r="FD448" s="46"/>
      <c r="FE448" s="46"/>
      <c r="FF448" s="46"/>
      <c r="FG448" s="46"/>
      <c r="FH448" s="46"/>
      <c r="FI448" s="46"/>
      <c r="FJ448" s="46"/>
      <c r="FK448" s="46"/>
      <c r="FL448" s="46"/>
      <c r="FM448" s="46"/>
      <c r="FN448" s="46"/>
      <c r="FO448" s="46"/>
      <c r="FP448" s="46"/>
      <c r="FQ448" s="46"/>
      <c r="FR448" s="46"/>
      <c r="FS448" s="46"/>
      <c r="FT448" s="46"/>
      <c r="FU448" s="46"/>
      <c r="FV448" s="46"/>
      <c r="FW448" s="46"/>
      <c r="FX448" s="46"/>
      <c r="FY448" s="46"/>
      <c r="FZ448" s="46"/>
      <c r="GA448" s="46"/>
      <c r="GB448" s="46"/>
      <c r="GC448" s="46"/>
      <c r="GD448" s="46"/>
      <c r="GE448" s="46"/>
      <c r="GF448" s="46"/>
      <c r="GG448" s="46"/>
      <c r="GH448" s="46"/>
      <c r="GI448" s="46"/>
      <c r="GJ448" s="46"/>
      <c r="GK448" s="46"/>
      <c r="GL448" s="46"/>
      <c r="GM448" s="46"/>
      <c r="GN448" s="46"/>
      <c r="GO448" s="46"/>
      <c r="GP448" s="46"/>
    </row>
    <row r="449" spans="1:198" ht="15" x14ac:dyDescent="0.2">
      <c r="A449" s="115" t="s">
        <v>61</v>
      </c>
      <c r="B449" s="68" t="s">
        <v>65</v>
      </c>
      <c r="C449" s="63">
        <v>1780000</v>
      </c>
      <c r="D449" s="62">
        <v>264098600</v>
      </c>
      <c r="E449" s="16"/>
      <c r="F449" s="31"/>
      <c r="G449" s="46"/>
      <c r="H449" s="47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  <c r="EO449" s="46"/>
      <c r="EP449" s="46"/>
      <c r="EQ449" s="46"/>
      <c r="ER449" s="46"/>
      <c r="ES449" s="46"/>
      <c r="ET449" s="46"/>
      <c r="EU449" s="46"/>
      <c r="EV449" s="46"/>
      <c r="EW449" s="46"/>
      <c r="EX449" s="46"/>
      <c r="EY449" s="46"/>
      <c r="EZ449" s="46"/>
      <c r="FA449" s="46"/>
      <c r="FB449" s="46"/>
      <c r="FC449" s="46"/>
      <c r="FD449" s="46"/>
      <c r="FE449" s="46"/>
      <c r="FF449" s="46"/>
      <c r="FG449" s="46"/>
      <c r="FH449" s="46"/>
      <c r="FI449" s="46"/>
      <c r="FJ449" s="46"/>
      <c r="FK449" s="46"/>
      <c r="FL449" s="46"/>
      <c r="FM449" s="46"/>
      <c r="FN449" s="46"/>
      <c r="FO449" s="46"/>
      <c r="FP449" s="46"/>
      <c r="FQ449" s="46"/>
      <c r="FR449" s="46"/>
      <c r="FS449" s="46"/>
      <c r="FT449" s="46"/>
      <c r="FU449" s="46"/>
      <c r="FV449" s="46"/>
      <c r="FW449" s="46"/>
      <c r="FX449" s="46"/>
      <c r="FY449" s="46"/>
      <c r="FZ449" s="46"/>
      <c r="GA449" s="46"/>
      <c r="GB449" s="46"/>
      <c r="GC449" s="46"/>
      <c r="GD449" s="46"/>
      <c r="GE449" s="46"/>
      <c r="GF449" s="46"/>
      <c r="GG449" s="46"/>
      <c r="GH449" s="46"/>
      <c r="GI449" s="46"/>
      <c r="GJ449" s="46"/>
      <c r="GK449" s="46"/>
      <c r="GL449" s="46"/>
      <c r="GM449" s="46"/>
      <c r="GN449" s="46"/>
      <c r="GO449" s="46"/>
      <c r="GP449" s="46"/>
    </row>
    <row r="450" spans="1:198" ht="15" x14ac:dyDescent="0.2">
      <c r="A450" s="115"/>
      <c r="B450" s="68"/>
      <c r="C450" s="63"/>
      <c r="D450" s="117"/>
      <c r="E450" s="16"/>
      <c r="F450" s="31"/>
      <c r="G450" s="165"/>
      <c r="H450" s="47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  <c r="EO450" s="46"/>
      <c r="EP450" s="46"/>
      <c r="EQ450" s="46"/>
      <c r="ER450" s="46"/>
      <c r="ES450" s="46"/>
      <c r="ET450" s="46"/>
      <c r="EU450" s="46"/>
      <c r="EV450" s="46"/>
      <c r="EW450" s="46"/>
      <c r="EX450" s="46"/>
      <c r="EY450" s="46"/>
      <c r="EZ450" s="46"/>
      <c r="FA450" s="46"/>
      <c r="FB450" s="46"/>
      <c r="FC450" s="46"/>
      <c r="FD450" s="46"/>
      <c r="FE450" s="46"/>
      <c r="FF450" s="46"/>
      <c r="FG450" s="46"/>
      <c r="FH450" s="46"/>
      <c r="FI450" s="46"/>
      <c r="FJ450" s="46"/>
      <c r="FK450" s="46"/>
      <c r="FL450" s="46"/>
      <c r="FM450" s="46"/>
      <c r="FN450" s="46"/>
      <c r="FO450" s="46"/>
      <c r="FP450" s="46"/>
      <c r="FQ450" s="46"/>
      <c r="FR450" s="46"/>
      <c r="FS450" s="46"/>
      <c r="FT450" s="46"/>
      <c r="FU450" s="46"/>
      <c r="FV450" s="46"/>
      <c r="FW450" s="46"/>
      <c r="FX450" s="46"/>
      <c r="FY450" s="46"/>
      <c r="FZ450" s="46"/>
      <c r="GA450" s="46"/>
      <c r="GB450" s="46"/>
      <c r="GC450" s="46"/>
      <c r="GD450" s="46"/>
      <c r="GE450" s="46"/>
      <c r="GF450" s="46"/>
      <c r="GG450" s="46"/>
      <c r="GH450" s="46"/>
      <c r="GI450" s="46"/>
      <c r="GJ450" s="46"/>
      <c r="GK450" s="46"/>
      <c r="GL450" s="46"/>
      <c r="GM450" s="46"/>
      <c r="GN450" s="46"/>
      <c r="GO450" s="46"/>
      <c r="GP450" s="46"/>
    </row>
    <row r="451" spans="1:198" ht="15" x14ac:dyDescent="0.2">
      <c r="A451" s="115" t="s">
        <v>68</v>
      </c>
      <c r="B451" s="68"/>
      <c r="C451" s="63"/>
      <c r="D451" s="118">
        <v>728093701.85710001</v>
      </c>
      <c r="E451" s="16"/>
      <c r="F451" s="31"/>
      <c r="G451" s="165"/>
      <c r="H451" s="47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  <c r="EO451" s="46"/>
      <c r="EP451" s="46"/>
      <c r="EQ451" s="46"/>
      <c r="ER451" s="46"/>
      <c r="ES451" s="46"/>
      <c r="ET451" s="46"/>
      <c r="EU451" s="46"/>
      <c r="EV451" s="46"/>
      <c r="EW451" s="46"/>
      <c r="EX451" s="46"/>
      <c r="EY451" s="46"/>
      <c r="EZ451" s="46"/>
      <c r="FA451" s="46"/>
      <c r="FB451" s="46"/>
      <c r="FC451" s="46"/>
      <c r="FD451" s="46"/>
      <c r="FE451" s="46"/>
      <c r="FF451" s="46"/>
      <c r="FG451" s="46"/>
      <c r="FH451" s="46"/>
      <c r="FI451" s="46"/>
      <c r="FJ451" s="46"/>
      <c r="FK451" s="46"/>
      <c r="FL451" s="46"/>
      <c r="FM451" s="46"/>
      <c r="FN451" s="46"/>
      <c r="FO451" s="46"/>
      <c r="FP451" s="46"/>
      <c r="FQ451" s="46"/>
      <c r="FR451" s="46"/>
      <c r="FS451" s="46"/>
      <c r="FT451" s="46"/>
      <c r="FU451" s="46"/>
      <c r="FV451" s="46"/>
      <c r="FW451" s="46"/>
      <c r="FX451" s="46"/>
      <c r="FY451" s="46"/>
      <c r="FZ451" s="46"/>
      <c r="GA451" s="46"/>
      <c r="GB451" s="46"/>
      <c r="GC451" s="46"/>
      <c r="GD451" s="46"/>
      <c r="GE451" s="46"/>
      <c r="GF451" s="46"/>
      <c r="GG451" s="46"/>
      <c r="GH451" s="46"/>
      <c r="GI451" s="46"/>
      <c r="GJ451" s="46"/>
      <c r="GK451" s="46"/>
      <c r="GL451" s="46"/>
      <c r="GM451" s="46"/>
      <c r="GN451" s="46"/>
      <c r="GO451" s="46"/>
      <c r="GP451" s="46"/>
    </row>
    <row r="452" spans="1:198" ht="15" x14ac:dyDescent="0.2">
      <c r="A452" s="102"/>
      <c r="B452" s="103"/>
      <c r="C452" s="104"/>
      <c r="D452" s="105"/>
      <c r="E452" s="53"/>
      <c r="F452" s="54"/>
      <c r="G452" s="46"/>
      <c r="H452" s="47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  <c r="EF452" s="46"/>
      <c r="EG452" s="46"/>
      <c r="EH452" s="46"/>
      <c r="EI452" s="46"/>
      <c r="EJ452" s="46"/>
      <c r="EK452" s="46"/>
      <c r="EL452" s="46"/>
      <c r="EM452" s="46"/>
      <c r="EN452" s="46"/>
      <c r="EO452" s="46"/>
      <c r="EP452" s="46"/>
      <c r="EQ452" s="46"/>
      <c r="ER452" s="46"/>
      <c r="ES452" s="46"/>
      <c r="ET452" s="46"/>
      <c r="EU452" s="46"/>
      <c r="EV452" s="46"/>
      <c r="EW452" s="46"/>
      <c r="EX452" s="46"/>
      <c r="EY452" s="46"/>
      <c r="EZ452" s="46"/>
      <c r="FA452" s="46"/>
      <c r="FB452" s="46"/>
      <c r="FC452" s="46"/>
      <c r="FD452" s="46"/>
      <c r="FE452" s="46"/>
      <c r="FF452" s="46"/>
      <c r="FG452" s="46"/>
      <c r="FH452" s="46"/>
      <c r="FI452" s="46"/>
      <c r="FJ452" s="46"/>
      <c r="FK452" s="46"/>
      <c r="FL452" s="46"/>
      <c r="FM452" s="46"/>
      <c r="FN452" s="46"/>
      <c r="FO452" s="46"/>
      <c r="FP452" s="46"/>
      <c r="FQ452" s="46"/>
      <c r="FR452" s="46"/>
      <c r="FS452" s="46"/>
      <c r="FT452" s="46"/>
      <c r="FU452" s="46"/>
      <c r="FV452" s="46"/>
      <c r="FW452" s="46"/>
      <c r="FX452" s="46"/>
      <c r="FY452" s="46"/>
      <c r="FZ452" s="46"/>
      <c r="GA452" s="46"/>
      <c r="GB452" s="46"/>
      <c r="GC452" s="46"/>
      <c r="GD452" s="46"/>
      <c r="GE452" s="46"/>
      <c r="GF452" s="46"/>
      <c r="GG452" s="46"/>
      <c r="GH452" s="46"/>
      <c r="GI452" s="46"/>
      <c r="GJ452" s="46"/>
      <c r="GK452" s="46"/>
      <c r="GL452" s="46"/>
      <c r="GM452" s="46"/>
      <c r="GN452" s="46"/>
      <c r="GO452" s="46"/>
      <c r="GP452" s="46"/>
    </row>
    <row r="453" spans="1:198" s="57" customFormat="1" x14ac:dyDescent="0.2">
      <c r="A453" s="90"/>
      <c r="B453" s="90"/>
      <c r="C453" s="90"/>
      <c r="D453" s="90"/>
      <c r="F453" s="65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  <c r="Z453" s="156"/>
      <c r="AA453" s="156"/>
      <c r="AB453" s="156"/>
      <c r="AC453" s="156"/>
      <c r="AD453" s="156"/>
      <c r="AE453" s="156"/>
      <c r="AF453" s="156"/>
      <c r="AG453" s="156"/>
      <c r="AH453" s="156"/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AU453" s="156"/>
      <c r="AV453" s="156"/>
      <c r="AW453" s="156"/>
      <c r="AX453" s="156"/>
      <c r="AY453" s="156"/>
      <c r="AZ453" s="156"/>
      <c r="BA453" s="156"/>
      <c r="BB453" s="156"/>
      <c r="BC453" s="156"/>
      <c r="BD453" s="156"/>
      <c r="BE453" s="156"/>
      <c r="BF453" s="156"/>
      <c r="BG453" s="156"/>
      <c r="BH453" s="156"/>
      <c r="BI453" s="156"/>
      <c r="BJ453" s="156"/>
      <c r="BK453" s="156"/>
      <c r="BL453" s="156"/>
      <c r="BM453" s="156"/>
      <c r="BN453" s="156"/>
      <c r="BO453" s="156"/>
      <c r="BP453" s="156"/>
      <c r="BQ453" s="156"/>
      <c r="BR453" s="156"/>
      <c r="BS453" s="156"/>
      <c r="BT453" s="156"/>
      <c r="BU453" s="156"/>
      <c r="BV453" s="156"/>
      <c r="BW453" s="156"/>
      <c r="BX453" s="156"/>
      <c r="BY453" s="156"/>
      <c r="BZ453" s="156"/>
      <c r="CA453" s="156"/>
      <c r="CB453" s="156"/>
      <c r="CC453" s="156"/>
      <c r="CD453" s="156"/>
      <c r="CE453" s="156"/>
      <c r="CF453" s="156"/>
      <c r="CG453" s="156"/>
      <c r="CH453" s="156"/>
      <c r="CI453" s="156"/>
      <c r="CJ453" s="156"/>
      <c r="CK453" s="156"/>
      <c r="CL453" s="156"/>
      <c r="CM453" s="156"/>
      <c r="CN453" s="156"/>
      <c r="CO453" s="156"/>
      <c r="CP453" s="156"/>
      <c r="CQ453" s="156"/>
      <c r="CR453" s="156"/>
      <c r="CS453" s="156"/>
      <c r="CT453" s="156"/>
      <c r="CU453" s="156"/>
      <c r="CV453" s="156"/>
      <c r="CW453" s="156"/>
      <c r="CX453" s="156"/>
      <c r="CY453" s="156"/>
      <c r="CZ453" s="156"/>
      <c r="DA453" s="156"/>
      <c r="DB453" s="156"/>
      <c r="DC453" s="156"/>
      <c r="DD453" s="156"/>
      <c r="DE453" s="156"/>
      <c r="DF453" s="156"/>
      <c r="DG453" s="156"/>
      <c r="DH453" s="156"/>
      <c r="DI453" s="156"/>
      <c r="DJ453" s="156"/>
      <c r="DK453" s="156"/>
      <c r="DL453" s="156"/>
      <c r="DM453" s="156"/>
      <c r="DN453" s="156"/>
      <c r="DO453" s="156"/>
      <c r="DP453" s="156"/>
      <c r="DQ453" s="156"/>
      <c r="DR453" s="156"/>
      <c r="DS453" s="156"/>
      <c r="DT453" s="156"/>
      <c r="DU453" s="156"/>
      <c r="DV453" s="156"/>
      <c r="DW453" s="156"/>
      <c r="DX453" s="156"/>
      <c r="DY453" s="156"/>
      <c r="DZ453" s="156"/>
      <c r="EA453" s="156"/>
      <c r="EB453" s="156"/>
      <c r="EC453" s="156"/>
      <c r="ED453" s="156"/>
      <c r="EE453" s="156"/>
      <c r="EF453" s="156"/>
      <c r="EG453" s="156"/>
      <c r="EH453" s="156"/>
      <c r="EI453" s="156"/>
      <c r="EJ453" s="156"/>
      <c r="EK453" s="156"/>
      <c r="EL453" s="156"/>
      <c r="EM453" s="156"/>
      <c r="EN453" s="156"/>
      <c r="EO453" s="156"/>
      <c r="EP453" s="156"/>
      <c r="EQ453" s="156"/>
      <c r="ER453" s="156"/>
      <c r="ES453" s="156"/>
      <c r="ET453" s="156"/>
      <c r="EU453" s="156"/>
      <c r="EV453" s="156"/>
      <c r="EW453" s="156"/>
      <c r="EX453" s="156"/>
      <c r="EY453" s="156"/>
      <c r="EZ453" s="156"/>
      <c r="FA453" s="156"/>
      <c r="FB453" s="156"/>
      <c r="FC453" s="156"/>
      <c r="FD453" s="156"/>
      <c r="FE453" s="156"/>
      <c r="FF453" s="156"/>
      <c r="FG453" s="156"/>
      <c r="FH453" s="156"/>
      <c r="FI453" s="174"/>
      <c r="FJ453" s="174"/>
      <c r="FK453" s="174"/>
      <c r="FL453" s="174"/>
      <c r="FM453" s="174"/>
      <c r="FN453" s="174"/>
      <c r="FO453" s="174"/>
      <c r="FP453" s="174"/>
      <c r="FQ453" s="174"/>
      <c r="FR453" s="174"/>
      <c r="FS453" s="174"/>
      <c r="FT453" s="174"/>
      <c r="FU453" s="174"/>
      <c r="FV453" s="174"/>
      <c r="FW453" s="174"/>
      <c r="FX453" s="174"/>
      <c r="FY453" s="174"/>
      <c r="FZ453" s="174"/>
      <c r="GA453" s="174"/>
      <c r="GB453" s="174"/>
      <c r="GC453" s="174"/>
      <c r="GD453" s="174"/>
      <c r="GE453" s="174"/>
      <c r="GF453" s="174"/>
      <c r="GG453" s="174"/>
      <c r="GH453" s="174"/>
      <c r="GI453" s="174"/>
      <c r="GJ453" s="174"/>
      <c r="GK453" s="174"/>
      <c r="GL453" s="174"/>
      <c r="GM453" s="174"/>
      <c r="GN453" s="174"/>
      <c r="GO453" s="174"/>
      <c r="GP453" s="174"/>
    </row>
    <row r="454" spans="1:198" ht="15" x14ac:dyDescent="0.2">
      <c r="A454" s="138" t="s">
        <v>69</v>
      </c>
      <c r="B454" s="139"/>
      <c r="C454" s="140"/>
      <c r="D454" s="141">
        <v>220942198850.68094</v>
      </c>
      <c r="E454" s="55"/>
      <c r="F454" s="56"/>
      <c r="G454" s="168"/>
      <c r="H454" s="47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  <c r="EF454" s="46"/>
      <c r="EG454" s="46"/>
      <c r="EH454" s="46"/>
      <c r="EI454" s="46"/>
      <c r="EJ454" s="46"/>
      <c r="EK454" s="46"/>
      <c r="EL454" s="46"/>
      <c r="EM454" s="46"/>
      <c r="EN454" s="46"/>
      <c r="EO454" s="46"/>
      <c r="EP454" s="46"/>
      <c r="EQ454" s="46"/>
      <c r="ER454" s="46"/>
      <c r="ES454" s="46"/>
      <c r="ET454" s="46"/>
      <c r="EU454" s="46"/>
      <c r="EV454" s="46"/>
      <c r="EW454" s="46"/>
      <c r="EX454" s="46"/>
      <c r="EY454" s="46"/>
      <c r="EZ454" s="46"/>
      <c r="FA454" s="46"/>
      <c r="FB454" s="46"/>
      <c r="FC454" s="46"/>
      <c r="FD454" s="46"/>
      <c r="FE454" s="46"/>
      <c r="FF454" s="46"/>
      <c r="FG454" s="46"/>
      <c r="FH454" s="46"/>
      <c r="FI454" s="46"/>
      <c r="FJ454" s="46"/>
      <c r="FK454" s="46"/>
      <c r="FL454" s="46"/>
      <c r="FM454" s="46"/>
      <c r="FN454" s="46"/>
      <c r="FO454" s="46"/>
      <c r="FP454" s="46"/>
      <c r="FQ454" s="46"/>
      <c r="FR454" s="46"/>
      <c r="FS454" s="46"/>
      <c r="FT454" s="46"/>
      <c r="FU454" s="46"/>
      <c r="FV454" s="46"/>
      <c r="FW454" s="46"/>
      <c r="FX454" s="46"/>
      <c r="FY454" s="46"/>
      <c r="FZ454" s="46"/>
      <c r="GA454" s="46"/>
      <c r="GB454" s="46"/>
      <c r="GC454" s="46"/>
      <c r="GD454" s="46"/>
      <c r="GE454" s="46"/>
      <c r="GF454" s="46"/>
      <c r="GG454" s="46"/>
      <c r="GH454" s="46"/>
      <c r="GI454" s="46"/>
      <c r="GJ454" s="46"/>
      <c r="GK454" s="46"/>
      <c r="GL454" s="46"/>
      <c r="GM454" s="46"/>
      <c r="GN454" s="46"/>
      <c r="GO454" s="46"/>
      <c r="GP454" s="46"/>
    </row>
    <row r="455" spans="1:198" ht="15" x14ac:dyDescent="0.2">
      <c r="A455" s="115"/>
      <c r="B455" s="26"/>
      <c r="C455" s="64"/>
      <c r="D455" s="142">
        <v>220942198850.68097</v>
      </c>
      <c r="E455" s="20"/>
      <c r="F455" s="31"/>
      <c r="G455" s="46"/>
      <c r="H455" s="47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  <c r="EF455" s="46"/>
      <c r="EG455" s="46"/>
      <c r="EH455" s="46"/>
      <c r="EI455" s="46"/>
      <c r="EJ455" s="46"/>
      <c r="EK455" s="46"/>
      <c r="EL455" s="46"/>
      <c r="EM455" s="46"/>
      <c r="EN455" s="46"/>
      <c r="EO455" s="46"/>
      <c r="EP455" s="46"/>
      <c r="EQ455" s="46"/>
      <c r="ER455" s="46"/>
      <c r="ES455" s="46"/>
      <c r="ET455" s="46"/>
      <c r="EU455" s="46"/>
      <c r="EV455" s="46"/>
      <c r="EW455" s="46"/>
      <c r="EX455" s="46"/>
      <c r="EY455" s="46"/>
      <c r="EZ455" s="46"/>
      <c r="FA455" s="46"/>
      <c r="FB455" s="46"/>
      <c r="FC455" s="46"/>
      <c r="FD455" s="46"/>
      <c r="FE455" s="46"/>
      <c r="FF455" s="46"/>
      <c r="FG455" s="46"/>
      <c r="FH455" s="46"/>
      <c r="FI455" s="46"/>
      <c r="FJ455" s="46"/>
      <c r="FK455" s="46"/>
      <c r="FL455" s="46"/>
      <c r="FM455" s="46"/>
      <c r="FN455" s="46"/>
      <c r="FO455" s="46"/>
      <c r="FP455" s="46"/>
      <c r="FQ455" s="46"/>
      <c r="FR455" s="46"/>
      <c r="FS455" s="46"/>
      <c r="FT455" s="46"/>
      <c r="FU455" s="46"/>
      <c r="FV455" s="46"/>
      <c r="FW455" s="46"/>
      <c r="FX455" s="46"/>
      <c r="FY455" s="46"/>
      <c r="FZ455" s="46"/>
      <c r="GA455" s="46"/>
      <c r="GB455" s="46"/>
      <c r="GC455" s="46"/>
      <c r="GD455" s="46"/>
      <c r="GE455" s="46"/>
      <c r="GF455" s="46"/>
      <c r="GG455" s="46"/>
      <c r="GH455" s="46"/>
      <c r="GI455" s="46"/>
      <c r="GJ455" s="46"/>
      <c r="GK455" s="46"/>
      <c r="GL455" s="46"/>
      <c r="GM455" s="46"/>
      <c r="GN455" s="46"/>
      <c r="GO455" s="46"/>
      <c r="GP455" s="46"/>
    </row>
    <row r="456" spans="1:198" ht="15" x14ac:dyDescent="0.2">
      <c r="A456" s="115"/>
      <c r="B456" s="68"/>
      <c r="C456" s="63"/>
      <c r="D456" s="117"/>
      <c r="E456" s="16" t="s">
        <v>73</v>
      </c>
      <c r="F456" s="31"/>
      <c r="G456" s="175"/>
      <c r="H456" s="47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  <c r="EO456" s="46"/>
      <c r="EP456" s="46"/>
      <c r="EQ456" s="46"/>
      <c r="ER456" s="46"/>
      <c r="ES456" s="46"/>
      <c r="ET456" s="46"/>
      <c r="EU456" s="46"/>
      <c r="EV456" s="46"/>
      <c r="EW456" s="46"/>
      <c r="EX456" s="46"/>
      <c r="EY456" s="46"/>
      <c r="EZ456" s="46"/>
      <c r="FA456" s="46"/>
      <c r="FB456" s="46"/>
      <c r="FC456" s="46"/>
      <c r="FD456" s="46"/>
      <c r="FE456" s="46"/>
      <c r="FF456" s="46"/>
      <c r="FG456" s="46"/>
      <c r="FH456" s="46"/>
      <c r="FI456" s="46"/>
      <c r="FJ456" s="46"/>
      <c r="FK456" s="46"/>
      <c r="FL456" s="46"/>
      <c r="FM456" s="46"/>
      <c r="FN456" s="46"/>
      <c r="FO456" s="46"/>
      <c r="FP456" s="46"/>
      <c r="FQ456" s="46"/>
      <c r="FR456" s="46"/>
      <c r="FS456" s="46"/>
      <c r="FT456" s="46"/>
      <c r="FU456" s="46"/>
      <c r="FV456" s="46"/>
      <c r="FW456" s="46"/>
      <c r="FX456" s="46"/>
      <c r="FY456" s="46"/>
      <c r="FZ456" s="46"/>
      <c r="GA456" s="46"/>
      <c r="GB456" s="46"/>
      <c r="GC456" s="46"/>
      <c r="GD456" s="46"/>
      <c r="GE456" s="46"/>
      <c r="GF456" s="46"/>
      <c r="GG456" s="46"/>
      <c r="GH456" s="46"/>
      <c r="GI456" s="46"/>
      <c r="GJ456" s="46"/>
      <c r="GK456" s="46"/>
      <c r="GL456" s="46"/>
      <c r="GM456" s="46"/>
      <c r="GN456" s="46"/>
      <c r="GO456" s="46"/>
      <c r="GP456" s="46"/>
    </row>
    <row r="457" spans="1:198" ht="15" x14ac:dyDescent="0.2">
      <c r="A457" s="125"/>
      <c r="B457" s="68"/>
      <c r="C457" s="112"/>
      <c r="D457" s="127"/>
      <c r="E457" s="16" t="s">
        <v>73</v>
      </c>
      <c r="F457" s="31"/>
      <c r="G457" s="46"/>
      <c r="H457" s="47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  <c r="EF457" s="46"/>
      <c r="EG457" s="46"/>
      <c r="EH457" s="46"/>
      <c r="EI457" s="46"/>
      <c r="EJ457" s="46"/>
      <c r="EK457" s="46"/>
      <c r="EL457" s="46"/>
      <c r="EM457" s="46"/>
      <c r="EN457" s="46"/>
      <c r="EO457" s="46"/>
      <c r="EP457" s="46"/>
      <c r="EQ457" s="46"/>
      <c r="ER457" s="46"/>
      <c r="ES457" s="46"/>
      <c r="ET457" s="46"/>
      <c r="EU457" s="46"/>
      <c r="EV457" s="46"/>
      <c r="EW457" s="46"/>
      <c r="EX457" s="46"/>
      <c r="EY457" s="46"/>
      <c r="EZ457" s="46"/>
      <c r="FA457" s="46"/>
      <c r="FB457" s="46"/>
      <c r="FC457" s="46"/>
      <c r="FD457" s="46"/>
      <c r="FE457" s="46"/>
      <c r="FF457" s="46"/>
      <c r="FG457" s="46"/>
      <c r="FH457" s="46"/>
      <c r="FI457" s="46"/>
      <c r="FJ457" s="46"/>
      <c r="FK457" s="46"/>
      <c r="FL457" s="46"/>
      <c r="FM457" s="46"/>
      <c r="FN457" s="46"/>
      <c r="FO457" s="46"/>
      <c r="FP457" s="46"/>
      <c r="FQ457" s="46"/>
      <c r="FR457" s="46"/>
      <c r="FS457" s="46"/>
      <c r="FT457" s="46"/>
      <c r="FU457" s="46"/>
      <c r="FV457" s="46"/>
      <c r="FW457" s="46"/>
      <c r="FX457" s="46"/>
      <c r="FY457" s="46"/>
      <c r="FZ457" s="46"/>
      <c r="GA457" s="46"/>
      <c r="GB457" s="46"/>
      <c r="GC457" s="46"/>
      <c r="GD457" s="46"/>
      <c r="GE457" s="46"/>
      <c r="GF457" s="46"/>
      <c r="GG457" s="46"/>
      <c r="GH457" s="46"/>
      <c r="GI457" s="46"/>
      <c r="GJ457" s="46"/>
      <c r="GK457" s="46"/>
      <c r="GL457" s="46"/>
      <c r="GM457" s="46"/>
      <c r="GN457" s="46"/>
      <c r="GO457" s="46"/>
      <c r="GP457" s="46"/>
    </row>
    <row r="458" spans="1:198" ht="15" x14ac:dyDescent="0.2">
      <c r="A458" s="143" t="s">
        <v>95</v>
      </c>
      <c r="B458" s="144"/>
      <c r="C458" s="145"/>
      <c r="D458" s="146">
        <v>586496128230.16968</v>
      </c>
      <c r="E458" s="16" t="s">
        <v>73</v>
      </c>
      <c r="F458" s="31"/>
      <c r="G458" s="176"/>
      <c r="H458" s="47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/>
      <c r="CS458" s="46"/>
      <c r="CT458" s="46"/>
      <c r="CU458" s="46"/>
      <c r="CV458" s="46"/>
      <c r="CW458" s="46"/>
      <c r="CX458" s="46"/>
      <c r="CY458" s="46"/>
      <c r="CZ458" s="46"/>
      <c r="DA458" s="46"/>
      <c r="DB458" s="46"/>
      <c r="DC458" s="46"/>
      <c r="DD458" s="46"/>
      <c r="DE458" s="46"/>
      <c r="DF458" s="46"/>
      <c r="DG458" s="46"/>
      <c r="DH458" s="46"/>
      <c r="DI458" s="46"/>
      <c r="DJ458" s="46"/>
      <c r="DK458" s="46"/>
      <c r="DL458" s="46"/>
      <c r="DM458" s="46"/>
      <c r="DN458" s="46"/>
      <c r="DO458" s="46"/>
      <c r="DP458" s="46"/>
      <c r="DQ458" s="46"/>
      <c r="DR458" s="46"/>
      <c r="DS458" s="46"/>
      <c r="DT458" s="46"/>
      <c r="DU458" s="46"/>
      <c r="DV458" s="46"/>
      <c r="DW458" s="46"/>
      <c r="DX458" s="46"/>
      <c r="DY458" s="46"/>
      <c r="DZ458" s="46"/>
      <c r="EA458" s="46"/>
      <c r="EB458" s="46"/>
      <c r="EC458" s="46"/>
      <c r="ED458" s="46"/>
      <c r="EE458" s="46"/>
      <c r="EF458" s="46"/>
      <c r="EG458" s="46"/>
      <c r="EH458" s="46"/>
      <c r="EI458" s="46"/>
      <c r="EJ458" s="46"/>
      <c r="EK458" s="46"/>
      <c r="EL458" s="46"/>
      <c r="EM458" s="46"/>
      <c r="EN458" s="46"/>
      <c r="EO458" s="46"/>
      <c r="EP458" s="46"/>
      <c r="EQ458" s="46"/>
      <c r="ER458" s="46"/>
      <c r="ES458" s="46"/>
      <c r="ET458" s="46"/>
      <c r="EU458" s="46"/>
      <c r="EV458" s="46"/>
      <c r="EW458" s="46"/>
      <c r="EX458" s="46"/>
      <c r="EY458" s="46"/>
      <c r="EZ458" s="46"/>
      <c r="FA458" s="46"/>
      <c r="FB458" s="46"/>
      <c r="FC458" s="46"/>
      <c r="FD458" s="46"/>
      <c r="FE458" s="46"/>
      <c r="FF458" s="46"/>
      <c r="FG458" s="46"/>
      <c r="FH458" s="46"/>
      <c r="FI458" s="46"/>
      <c r="FJ458" s="46"/>
      <c r="FK458" s="46"/>
      <c r="FL458" s="46"/>
      <c r="FM458" s="46"/>
      <c r="FN458" s="46"/>
      <c r="FO458" s="46"/>
      <c r="FP458" s="46"/>
      <c r="FQ458" s="46"/>
      <c r="FR458" s="46"/>
      <c r="FS458" s="46"/>
      <c r="FT458" s="46"/>
      <c r="FU458" s="46"/>
      <c r="FV458" s="46"/>
      <c r="FW458" s="46"/>
      <c r="FX458" s="46"/>
      <c r="FY458" s="46"/>
      <c r="FZ458" s="46"/>
      <c r="GA458" s="46"/>
      <c r="GB458" s="46"/>
      <c r="GC458" s="46"/>
      <c r="GD458" s="46"/>
      <c r="GE458" s="46"/>
      <c r="GF458" s="46"/>
      <c r="GG458" s="46"/>
      <c r="GH458" s="46"/>
      <c r="GI458" s="46"/>
      <c r="GJ458" s="46"/>
      <c r="GK458" s="46"/>
      <c r="GL458" s="46"/>
      <c r="GM458" s="46"/>
      <c r="GN458" s="46"/>
      <c r="GO458" s="46"/>
      <c r="GP458" s="46"/>
    </row>
    <row r="459" spans="1:198" ht="15" x14ac:dyDescent="0.2">
      <c r="A459" s="6"/>
      <c r="B459" s="19"/>
      <c r="C459" s="48"/>
      <c r="D459" s="40"/>
      <c r="E459" s="16"/>
      <c r="F459" s="31"/>
      <c r="G459" s="165"/>
      <c r="H459" s="47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46"/>
      <c r="DP459" s="46"/>
      <c r="DQ459" s="46"/>
      <c r="DR459" s="46"/>
      <c r="DS459" s="46"/>
      <c r="DT459" s="46"/>
      <c r="DU459" s="46"/>
      <c r="DV459" s="46"/>
      <c r="DW459" s="46"/>
      <c r="DX459" s="46"/>
      <c r="DY459" s="46"/>
      <c r="DZ459" s="46"/>
      <c r="EA459" s="46"/>
      <c r="EB459" s="46"/>
      <c r="EC459" s="46"/>
      <c r="ED459" s="46"/>
      <c r="EE459" s="46"/>
      <c r="EF459" s="46"/>
      <c r="EG459" s="46"/>
      <c r="EH459" s="46"/>
      <c r="EI459" s="46"/>
      <c r="EJ459" s="46"/>
      <c r="EK459" s="46"/>
      <c r="EL459" s="46"/>
      <c r="EM459" s="46"/>
      <c r="EN459" s="46"/>
      <c r="EO459" s="46"/>
      <c r="EP459" s="46"/>
      <c r="EQ459" s="46"/>
      <c r="ER459" s="46"/>
      <c r="ES459" s="46"/>
      <c r="ET459" s="46"/>
      <c r="EU459" s="46"/>
      <c r="EV459" s="46"/>
      <c r="EW459" s="46"/>
      <c r="EX459" s="46"/>
      <c r="EY459" s="46"/>
      <c r="EZ459" s="46"/>
      <c r="FA459" s="46"/>
      <c r="FB459" s="46"/>
      <c r="FC459" s="46"/>
      <c r="FD459" s="46"/>
      <c r="FE459" s="46"/>
      <c r="FF459" s="46"/>
      <c r="FG459" s="46"/>
      <c r="FH459" s="46"/>
      <c r="FI459" s="46"/>
      <c r="FJ459" s="46"/>
      <c r="FK459" s="46"/>
      <c r="FL459" s="46"/>
      <c r="FM459" s="46"/>
      <c r="FN459" s="46"/>
      <c r="FO459" s="46"/>
      <c r="FP459" s="46"/>
      <c r="FQ459" s="46"/>
      <c r="FR459" s="46"/>
      <c r="FS459" s="46"/>
      <c r="FT459" s="46"/>
      <c r="FU459" s="46"/>
      <c r="FV459" s="46"/>
      <c r="FW459" s="46"/>
      <c r="FX459" s="46"/>
      <c r="FY459" s="46"/>
      <c r="FZ459" s="46"/>
      <c r="GA459" s="46"/>
      <c r="GB459" s="46"/>
      <c r="GC459" s="46"/>
      <c r="GD459" s="46"/>
      <c r="GE459" s="46"/>
      <c r="GF459" s="46"/>
      <c r="GG459" s="46"/>
      <c r="GH459" s="46"/>
      <c r="GI459" s="46"/>
      <c r="GJ459" s="46"/>
      <c r="GK459" s="46"/>
      <c r="GL459" s="46"/>
      <c r="GM459" s="46"/>
      <c r="GN459" s="46"/>
      <c r="GO459" s="46"/>
      <c r="GP459" s="46"/>
    </row>
    <row r="460" spans="1:198" ht="15" x14ac:dyDescent="0.2">
      <c r="A460" s="6"/>
      <c r="B460" s="19"/>
      <c r="C460" s="48"/>
      <c r="D460" s="40"/>
      <c r="E460" s="16"/>
      <c r="F460" s="31"/>
      <c r="G460" s="165"/>
      <c r="H460" s="47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  <c r="EF460" s="46"/>
      <c r="EG460" s="46"/>
      <c r="EH460" s="46"/>
      <c r="EI460" s="46"/>
      <c r="EJ460" s="46"/>
      <c r="EK460" s="46"/>
      <c r="EL460" s="46"/>
      <c r="EM460" s="46"/>
      <c r="EN460" s="46"/>
      <c r="EO460" s="46"/>
      <c r="EP460" s="46"/>
      <c r="EQ460" s="46"/>
      <c r="ER460" s="46"/>
      <c r="ES460" s="46"/>
      <c r="ET460" s="46"/>
      <c r="EU460" s="46"/>
      <c r="EV460" s="46"/>
      <c r="EW460" s="46"/>
      <c r="EX460" s="46"/>
      <c r="EY460" s="46"/>
      <c r="EZ460" s="46"/>
      <c r="FA460" s="46"/>
      <c r="FB460" s="46"/>
      <c r="FC460" s="46"/>
      <c r="FD460" s="46"/>
      <c r="FE460" s="46"/>
      <c r="FF460" s="46"/>
      <c r="FG460" s="46"/>
      <c r="FH460" s="46"/>
      <c r="FI460" s="46"/>
      <c r="FJ460" s="46"/>
      <c r="FK460" s="46"/>
      <c r="FL460" s="46"/>
      <c r="FM460" s="46"/>
      <c r="FN460" s="46"/>
      <c r="FO460" s="46"/>
      <c r="FP460" s="46"/>
      <c r="FQ460" s="46"/>
      <c r="FR460" s="46"/>
      <c r="FS460" s="46"/>
      <c r="FT460" s="46"/>
      <c r="FU460" s="46"/>
      <c r="FV460" s="46"/>
      <c r="FW460" s="46"/>
      <c r="FX460" s="46"/>
      <c r="FY460" s="46"/>
      <c r="FZ460" s="46"/>
      <c r="GA460" s="46"/>
      <c r="GB460" s="46"/>
      <c r="GC460" s="46"/>
      <c r="GD460" s="46"/>
      <c r="GE460" s="46"/>
      <c r="GF460" s="46"/>
      <c r="GG460" s="46"/>
      <c r="GH460" s="46"/>
      <c r="GI460" s="46"/>
      <c r="GJ460" s="46"/>
      <c r="GK460" s="46"/>
      <c r="GL460" s="46"/>
      <c r="GM460" s="46"/>
      <c r="GN460" s="46"/>
      <c r="GO460" s="46"/>
      <c r="GP460" s="46"/>
    </row>
    <row r="461" spans="1:198" ht="15" x14ac:dyDescent="0.2">
      <c r="A461" s="13" t="s">
        <v>96</v>
      </c>
      <c r="B461" s="27"/>
      <c r="C461" s="50"/>
      <c r="D461" s="43">
        <v>1594844778246.1699</v>
      </c>
      <c r="E461" s="16"/>
      <c r="F461" s="31"/>
      <c r="G461" s="47"/>
      <c r="H461" s="47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  <c r="EF461" s="46"/>
      <c r="EG461" s="46"/>
      <c r="EH461" s="46"/>
      <c r="EI461" s="46"/>
      <c r="EJ461" s="46"/>
      <c r="EK461" s="46"/>
      <c r="EL461" s="46"/>
      <c r="EM461" s="46"/>
      <c r="EN461" s="46"/>
      <c r="EO461" s="46"/>
      <c r="EP461" s="46"/>
      <c r="EQ461" s="46"/>
      <c r="ER461" s="46"/>
      <c r="ES461" s="46"/>
      <c r="ET461" s="46"/>
      <c r="EU461" s="46"/>
      <c r="EV461" s="46"/>
      <c r="EW461" s="46"/>
      <c r="EX461" s="46"/>
      <c r="EY461" s="46"/>
      <c r="EZ461" s="46"/>
      <c r="FA461" s="46"/>
      <c r="FB461" s="46"/>
      <c r="FC461" s="46"/>
      <c r="FD461" s="46"/>
      <c r="FE461" s="46"/>
      <c r="FF461" s="46"/>
      <c r="FG461" s="46"/>
      <c r="FH461" s="46"/>
      <c r="FI461" s="46"/>
      <c r="FJ461" s="46"/>
      <c r="FK461" s="46"/>
      <c r="FL461" s="46"/>
      <c r="FM461" s="46"/>
      <c r="FN461" s="46"/>
      <c r="FO461" s="46"/>
      <c r="FP461" s="46"/>
      <c r="FQ461" s="46"/>
      <c r="FR461" s="46"/>
      <c r="FS461" s="46"/>
      <c r="FT461" s="46"/>
      <c r="FU461" s="46"/>
      <c r="FV461" s="46"/>
      <c r="FW461" s="46"/>
      <c r="FX461" s="46"/>
      <c r="FY461" s="46"/>
      <c r="FZ461" s="46"/>
      <c r="GA461" s="46"/>
      <c r="GB461" s="46"/>
      <c r="GC461" s="46"/>
      <c r="GD461" s="46"/>
      <c r="GE461" s="46"/>
      <c r="GF461" s="46"/>
      <c r="GG461" s="46"/>
      <c r="GH461" s="46"/>
      <c r="GI461" s="46"/>
      <c r="GJ461" s="46"/>
      <c r="GK461" s="46"/>
      <c r="GL461" s="46"/>
      <c r="GM461" s="46"/>
      <c r="GN461" s="46"/>
      <c r="GO461" s="46"/>
      <c r="GP461" s="46"/>
    </row>
    <row r="462" spans="1:198" ht="15" x14ac:dyDescent="0.2">
      <c r="E462" s="8"/>
      <c r="F462" s="11"/>
      <c r="G462" s="46"/>
      <c r="H462" s="47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  <c r="EF462" s="46"/>
      <c r="EG462" s="46"/>
      <c r="EH462" s="46"/>
      <c r="EI462" s="46"/>
      <c r="EJ462" s="46"/>
      <c r="EK462" s="46"/>
      <c r="EL462" s="46"/>
      <c r="EM462" s="46"/>
      <c r="EN462" s="46"/>
      <c r="EO462" s="46"/>
      <c r="EP462" s="46"/>
      <c r="EQ462" s="46"/>
      <c r="ER462" s="46"/>
      <c r="ES462" s="46"/>
      <c r="ET462" s="46"/>
      <c r="EU462" s="46"/>
      <c r="EV462" s="46"/>
      <c r="EW462" s="46"/>
      <c r="EX462" s="46"/>
      <c r="EY462" s="46"/>
      <c r="EZ462" s="46"/>
      <c r="FA462" s="46"/>
      <c r="FB462" s="46"/>
      <c r="FC462" s="46"/>
      <c r="FD462" s="46"/>
      <c r="FE462" s="46"/>
      <c r="FF462" s="46"/>
      <c r="FG462" s="46"/>
      <c r="FH462" s="46"/>
      <c r="FI462" s="46"/>
      <c r="FJ462" s="46"/>
      <c r="FK462" s="46"/>
      <c r="FL462" s="46"/>
      <c r="FM462" s="46"/>
      <c r="FN462" s="46"/>
      <c r="FO462" s="46"/>
      <c r="FP462" s="46"/>
      <c r="FQ462" s="46"/>
      <c r="FR462" s="46"/>
      <c r="FS462" s="46"/>
      <c r="FT462" s="46"/>
      <c r="FU462" s="46"/>
      <c r="FV462" s="46"/>
      <c r="FW462" s="46"/>
      <c r="FX462" s="46"/>
      <c r="FY462" s="46"/>
      <c r="FZ462" s="46"/>
      <c r="GA462" s="46"/>
      <c r="GB462" s="46"/>
      <c r="GC462" s="46"/>
      <c r="GD462" s="46"/>
      <c r="GE462" s="46"/>
      <c r="GF462" s="46"/>
      <c r="GG462" s="46"/>
      <c r="GH462" s="46"/>
      <c r="GI462" s="46"/>
      <c r="GJ462" s="46"/>
      <c r="GK462" s="46"/>
      <c r="GL462" s="46"/>
      <c r="GM462" s="46"/>
      <c r="GN462" s="46"/>
      <c r="GO462" s="46"/>
      <c r="GP462" s="46"/>
    </row>
    <row r="463" spans="1:198" ht="15" x14ac:dyDescent="0.2">
      <c r="A463" t="s">
        <v>73</v>
      </c>
      <c r="E463" s="8"/>
      <c r="F463" s="11"/>
      <c r="G463" s="166"/>
      <c r="H463" s="47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  <c r="CZ463" s="46"/>
      <c r="DA463" s="46"/>
      <c r="DB463" s="46"/>
      <c r="DC463" s="46"/>
      <c r="DD463" s="46"/>
      <c r="DE463" s="46"/>
      <c r="DF463" s="46"/>
      <c r="DG463" s="46"/>
      <c r="DH463" s="46"/>
      <c r="DI463" s="46"/>
      <c r="DJ463" s="46"/>
      <c r="DK463" s="46"/>
      <c r="DL463" s="46"/>
      <c r="DM463" s="46"/>
      <c r="DN463" s="46"/>
      <c r="DO463" s="46"/>
      <c r="DP463" s="46"/>
      <c r="DQ463" s="46"/>
      <c r="DR463" s="46"/>
      <c r="DS463" s="46"/>
      <c r="DT463" s="46"/>
      <c r="DU463" s="46"/>
      <c r="DV463" s="46"/>
      <c r="DW463" s="46"/>
      <c r="DX463" s="46"/>
      <c r="DY463" s="46"/>
      <c r="DZ463" s="46"/>
      <c r="EA463" s="46"/>
      <c r="EB463" s="46"/>
      <c r="EC463" s="46"/>
      <c r="ED463" s="46"/>
      <c r="EE463" s="46"/>
      <c r="EF463" s="46"/>
      <c r="EG463" s="46"/>
      <c r="EH463" s="46"/>
      <c r="EI463" s="46"/>
      <c r="EJ463" s="46"/>
      <c r="EK463" s="46"/>
      <c r="EL463" s="46"/>
      <c r="EM463" s="46"/>
      <c r="EN463" s="46"/>
      <c r="EO463" s="46"/>
      <c r="EP463" s="46"/>
      <c r="EQ463" s="46"/>
      <c r="ER463" s="46"/>
      <c r="ES463" s="46"/>
      <c r="ET463" s="46"/>
      <c r="EU463" s="46"/>
      <c r="EV463" s="46"/>
      <c r="EW463" s="46"/>
      <c r="EX463" s="46"/>
      <c r="EY463" s="46"/>
      <c r="EZ463" s="46"/>
      <c r="FA463" s="46"/>
      <c r="FB463" s="46"/>
      <c r="FC463" s="46"/>
      <c r="FD463" s="46"/>
      <c r="FE463" s="46"/>
      <c r="FF463" s="46"/>
      <c r="FG463" s="46"/>
      <c r="FH463" s="46"/>
      <c r="FI463" s="46"/>
      <c r="FJ463" s="46"/>
      <c r="FK463" s="46"/>
      <c r="FL463" s="46"/>
      <c r="FM463" s="46"/>
      <c r="FN463" s="46"/>
      <c r="FO463" s="46"/>
      <c r="FP463" s="46"/>
      <c r="FQ463" s="46"/>
      <c r="FR463" s="46"/>
      <c r="FS463" s="46"/>
      <c r="FT463" s="46"/>
      <c r="FU463" s="46"/>
      <c r="FV463" s="46"/>
      <c r="FW463" s="46"/>
      <c r="FX463" s="46"/>
      <c r="FY463" s="46"/>
      <c r="FZ463" s="46"/>
      <c r="GA463" s="46"/>
      <c r="GB463" s="46"/>
      <c r="GC463" s="46"/>
      <c r="GD463" s="46"/>
      <c r="GE463" s="46"/>
      <c r="GF463" s="46"/>
      <c r="GG463" s="46"/>
      <c r="GH463" s="46"/>
      <c r="GI463" s="46"/>
      <c r="GJ463" s="46"/>
      <c r="GK463" s="46"/>
      <c r="GL463" s="46"/>
      <c r="GM463" s="46"/>
      <c r="GN463" s="46"/>
      <c r="GO463" s="46"/>
      <c r="GP463" s="46"/>
    </row>
    <row r="464" spans="1:198" ht="15" x14ac:dyDescent="0.2">
      <c r="E464" s="8"/>
      <c r="F464" s="11"/>
      <c r="G464" s="46"/>
      <c r="H464" s="47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  <c r="EO464" s="46"/>
      <c r="EP464" s="46"/>
      <c r="EQ464" s="46"/>
      <c r="ER464" s="46"/>
      <c r="ES464" s="46"/>
      <c r="ET464" s="46"/>
      <c r="EU464" s="46"/>
      <c r="EV464" s="46"/>
      <c r="EW464" s="46"/>
      <c r="EX464" s="46"/>
      <c r="EY464" s="46"/>
      <c r="EZ464" s="46"/>
      <c r="FA464" s="46"/>
      <c r="FB464" s="46"/>
      <c r="FC464" s="46"/>
      <c r="FD464" s="46"/>
      <c r="FE464" s="46"/>
      <c r="FF464" s="46"/>
      <c r="FG464" s="46"/>
      <c r="FH464" s="46"/>
      <c r="FI464" s="46"/>
      <c r="FJ464" s="46"/>
      <c r="FK464" s="46"/>
      <c r="FL464" s="46"/>
      <c r="FM464" s="46"/>
      <c r="FN464" s="46"/>
      <c r="FO464" s="46"/>
      <c r="FP464" s="46"/>
      <c r="FQ464" s="46"/>
      <c r="FR464" s="46"/>
      <c r="FS464" s="46"/>
      <c r="FT464" s="46"/>
      <c r="FU464" s="46"/>
      <c r="FV464" s="46"/>
      <c r="FW464" s="46"/>
      <c r="FX464" s="46"/>
      <c r="FY464" s="46"/>
      <c r="FZ464" s="46"/>
      <c r="GA464" s="46"/>
      <c r="GB464" s="46"/>
      <c r="GC464" s="46"/>
      <c r="GD464" s="46"/>
      <c r="GE464" s="46"/>
      <c r="GF464" s="46"/>
      <c r="GG464" s="46"/>
      <c r="GH464" s="46"/>
      <c r="GI464" s="46"/>
      <c r="GJ464" s="46"/>
      <c r="GK464" s="46"/>
      <c r="GL464" s="46"/>
      <c r="GM464" s="46"/>
      <c r="GN464" s="46"/>
      <c r="GO464" s="46"/>
      <c r="GP464" s="46"/>
    </row>
    <row r="465" spans="1:198" ht="15" x14ac:dyDescent="0.2">
      <c r="E465" s="8"/>
      <c r="F465" s="11"/>
      <c r="G465" s="166"/>
      <c r="H465" s="47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  <c r="EF465" s="46"/>
      <c r="EG465" s="46"/>
      <c r="EH465" s="46"/>
      <c r="EI465" s="46"/>
      <c r="EJ465" s="46"/>
      <c r="EK465" s="46"/>
      <c r="EL465" s="46"/>
      <c r="EM465" s="46"/>
      <c r="EN465" s="46"/>
      <c r="EO465" s="46"/>
      <c r="EP465" s="46"/>
      <c r="EQ465" s="46"/>
      <c r="ER465" s="46"/>
      <c r="ES465" s="46"/>
      <c r="ET465" s="46"/>
      <c r="EU465" s="46"/>
      <c r="EV465" s="46"/>
      <c r="EW465" s="46"/>
      <c r="EX465" s="46"/>
      <c r="EY465" s="46"/>
      <c r="EZ465" s="46"/>
      <c r="FA465" s="46"/>
      <c r="FB465" s="46"/>
      <c r="FC465" s="46"/>
      <c r="FD465" s="46"/>
      <c r="FE465" s="46"/>
      <c r="FF465" s="46"/>
      <c r="FG465" s="46"/>
      <c r="FH465" s="46"/>
      <c r="FI465" s="46"/>
      <c r="FJ465" s="46"/>
      <c r="FK465" s="46"/>
      <c r="FL465" s="46"/>
      <c r="FM465" s="46"/>
      <c r="FN465" s="46"/>
      <c r="FO465" s="46"/>
      <c r="FP465" s="46"/>
      <c r="FQ465" s="46"/>
      <c r="FR465" s="46"/>
      <c r="FS465" s="46"/>
      <c r="FT465" s="46"/>
      <c r="FU465" s="46"/>
      <c r="FV465" s="46"/>
      <c r="FW465" s="46"/>
      <c r="FX465" s="46"/>
      <c r="FY465" s="46"/>
      <c r="FZ465" s="46"/>
      <c r="GA465" s="46"/>
      <c r="GB465" s="46"/>
      <c r="GC465" s="46"/>
      <c r="GD465" s="46"/>
      <c r="GE465" s="46"/>
      <c r="GF465" s="46"/>
      <c r="GG465" s="46"/>
      <c r="GH465" s="46"/>
      <c r="GI465" s="46"/>
      <c r="GJ465" s="46"/>
      <c r="GK465" s="46"/>
      <c r="GL465" s="46"/>
      <c r="GM465" s="46"/>
      <c r="GN465" s="46"/>
      <c r="GO465" s="46"/>
      <c r="GP465" s="46"/>
    </row>
    <row r="466" spans="1:198" ht="15" x14ac:dyDescent="0.2">
      <c r="A466" t="s">
        <v>73</v>
      </c>
      <c r="B466" s="151" t="s">
        <v>346</v>
      </c>
      <c r="C466" s="51"/>
      <c r="E466" s="8"/>
      <c r="F466" s="11"/>
      <c r="G466" s="46"/>
      <c r="H466" s="47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  <c r="EO466" s="46"/>
      <c r="EP466" s="46"/>
      <c r="EQ466" s="46"/>
      <c r="ER466" s="46"/>
      <c r="ES466" s="46"/>
      <c r="ET466" s="46"/>
      <c r="EU466" s="46"/>
      <c r="EV466" s="46"/>
      <c r="EW466" s="46"/>
      <c r="EX466" s="46"/>
      <c r="EY466" s="46"/>
      <c r="EZ466" s="46"/>
      <c r="FA466" s="46"/>
      <c r="FB466" s="46"/>
      <c r="FC466" s="46"/>
      <c r="FD466" s="46"/>
      <c r="FE466" s="46"/>
      <c r="FF466" s="46"/>
      <c r="FG466" s="46"/>
      <c r="FH466" s="46"/>
      <c r="FI466" s="46"/>
      <c r="FJ466" s="46"/>
      <c r="FK466" s="46"/>
      <c r="FL466" s="46"/>
      <c r="FM466" s="46"/>
      <c r="FN466" s="46"/>
      <c r="FO466" s="46"/>
      <c r="FP466" s="46"/>
      <c r="FQ466" s="46"/>
      <c r="FR466" s="46"/>
      <c r="FS466" s="46"/>
      <c r="FT466" s="46"/>
      <c r="FU466" s="46"/>
      <c r="FV466" s="46"/>
      <c r="FW466" s="46"/>
      <c r="FX466" s="46"/>
      <c r="FY466" s="46"/>
      <c r="FZ466" s="46"/>
      <c r="GA466" s="46"/>
      <c r="GB466" s="46"/>
      <c r="GC466" s="46"/>
      <c r="GD466" s="46"/>
      <c r="GE466" s="46"/>
      <c r="GF466" s="46"/>
      <c r="GG466" s="46"/>
      <c r="GH466" s="46"/>
      <c r="GI466" s="46"/>
      <c r="GJ466" s="46"/>
      <c r="GK466" s="46"/>
      <c r="GL466" s="46"/>
      <c r="GM466" s="46"/>
      <c r="GN466" s="46"/>
      <c r="GO466" s="46"/>
      <c r="GP466" s="46"/>
    </row>
    <row r="467" spans="1:198" x14ac:dyDescent="0.2">
      <c r="A467" t="s">
        <v>73</v>
      </c>
      <c r="G467" s="173"/>
      <c r="H467" s="47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  <c r="EF467" s="46"/>
      <c r="EG467" s="46"/>
      <c r="EH467" s="46"/>
      <c r="EI467" s="46"/>
      <c r="EJ467" s="46"/>
      <c r="EK467" s="46"/>
      <c r="EL467" s="46"/>
      <c r="EM467" s="46"/>
      <c r="EN467" s="46"/>
      <c r="EO467" s="46"/>
      <c r="EP467" s="46"/>
      <c r="EQ467" s="46"/>
      <c r="ER467" s="46"/>
      <c r="ES467" s="46"/>
      <c r="ET467" s="46"/>
      <c r="EU467" s="46"/>
      <c r="EV467" s="46"/>
      <c r="EW467" s="46"/>
      <c r="EX467" s="46"/>
      <c r="EY467" s="46"/>
      <c r="EZ467" s="46"/>
      <c r="FA467" s="46"/>
      <c r="FB467" s="46"/>
      <c r="FC467" s="46"/>
      <c r="FD467" s="46"/>
      <c r="FE467" s="46"/>
      <c r="FF467" s="46"/>
      <c r="FG467" s="46"/>
      <c r="FH467" s="46"/>
      <c r="FI467" s="46"/>
      <c r="FJ467" s="46"/>
      <c r="FK467" s="46"/>
      <c r="FL467" s="46"/>
      <c r="FM467" s="46"/>
      <c r="FN467" s="46"/>
      <c r="FO467" s="46"/>
      <c r="FP467" s="46"/>
      <c r="FQ467" s="46"/>
      <c r="FR467" s="46"/>
      <c r="FS467" s="46"/>
      <c r="FT467" s="46"/>
      <c r="FU467" s="46"/>
      <c r="FV467" s="46"/>
      <c r="FW467" s="46"/>
      <c r="FX467" s="46"/>
      <c r="FY467" s="46"/>
      <c r="FZ467" s="46"/>
      <c r="GA467" s="46"/>
      <c r="GB467" s="46"/>
      <c r="GC467" s="46"/>
      <c r="GD467" s="46"/>
      <c r="GE467" s="46"/>
      <c r="GF467" s="46"/>
      <c r="GG467" s="46"/>
      <c r="GH467" s="46"/>
      <c r="GI467" s="46"/>
      <c r="GJ467" s="46"/>
      <c r="GK467" s="46"/>
      <c r="GL467" s="46"/>
      <c r="GM467" s="46"/>
      <c r="GN467" s="46"/>
      <c r="GO467" s="46"/>
      <c r="GP467" s="46"/>
    </row>
    <row r="468" spans="1:198" x14ac:dyDescent="0.2">
      <c r="B468" s="28" t="s">
        <v>117</v>
      </c>
      <c r="C468" s="181">
        <v>98.89</v>
      </c>
      <c r="D468" s="52"/>
      <c r="G468" s="148"/>
      <c r="H468" s="47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  <c r="CI468" s="46"/>
      <c r="CJ468" s="46"/>
      <c r="CK468" s="46"/>
      <c r="CL468" s="46"/>
      <c r="CM468" s="46"/>
      <c r="CN468" s="46"/>
      <c r="CO468" s="46"/>
      <c r="CP468" s="46"/>
      <c r="CQ468" s="46"/>
      <c r="CR468" s="46"/>
      <c r="CS468" s="46"/>
      <c r="CT468" s="46"/>
      <c r="CU468" s="46"/>
      <c r="CV468" s="46"/>
      <c r="CW468" s="46"/>
      <c r="CX468" s="46"/>
      <c r="CY468" s="46"/>
      <c r="CZ468" s="46"/>
      <c r="DA468" s="46"/>
      <c r="DB468" s="46"/>
      <c r="DC468" s="46"/>
      <c r="DD468" s="46"/>
      <c r="DE468" s="46"/>
      <c r="DF468" s="46"/>
      <c r="DG468" s="46"/>
      <c r="DH468" s="46"/>
      <c r="DI468" s="46"/>
      <c r="DJ468" s="46"/>
      <c r="DK468" s="46"/>
      <c r="DL468" s="46"/>
      <c r="DM468" s="46"/>
      <c r="DN468" s="46"/>
      <c r="DO468" s="46"/>
      <c r="DP468" s="46"/>
      <c r="DQ468" s="46"/>
      <c r="DR468" s="46"/>
      <c r="DS468" s="46"/>
      <c r="DT468" s="46"/>
      <c r="DU468" s="46"/>
      <c r="DV468" s="46"/>
      <c r="DW468" s="46"/>
      <c r="DX468" s="46"/>
      <c r="DY468" s="46"/>
      <c r="DZ468" s="46"/>
      <c r="EA468" s="46"/>
      <c r="EB468" s="46"/>
      <c r="EC468" s="46"/>
      <c r="ED468" s="46"/>
      <c r="EE468" s="46"/>
      <c r="EF468" s="46"/>
      <c r="EG468" s="46"/>
      <c r="EH468" s="46"/>
      <c r="EI468" s="46"/>
      <c r="EJ468" s="46"/>
      <c r="EK468" s="46"/>
      <c r="EL468" s="46"/>
      <c r="EM468" s="46"/>
      <c r="EN468" s="46"/>
      <c r="EO468" s="46"/>
      <c r="EP468" s="46"/>
      <c r="EQ468" s="46"/>
      <c r="ER468" s="46"/>
      <c r="ES468" s="46"/>
      <c r="ET468" s="46"/>
      <c r="EU468" s="46"/>
      <c r="EV468" s="46"/>
      <c r="EW468" s="46"/>
      <c r="EX468" s="46"/>
      <c r="EY468" s="46"/>
      <c r="EZ468" s="46"/>
      <c r="FA468" s="46"/>
      <c r="FB468" s="46"/>
      <c r="FC468" s="46"/>
      <c r="FD468" s="46"/>
      <c r="FE468" s="46"/>
      <c r="FF468" s="46"/>
      <c r="FG468" s="46"/>
      <c r="FH468" s="46"/>
      <c r="FI468" s="46"/>
      <c r="FJ468" s="46"/>
      <c r="FK468" s="46"/>
      <c r="FL468" s="46"/>
      <c r="FM468" s="46"/>
      <c r="FN468" s="46"/>
      <c r="FO468" s="46"/>
      <c r="FP468" s="46"/>
      <c r="FQ468" s="46"/>
      <c r="FR468" s="46"/>
      <c r="FS468" s="46"/>
      <c r="FT468" s="46"/>
      <c r="FU468" s="46"/>
      <c r="FV468" s="46"/>
      <c r="FW468" s="46"/>
      <c r="FX468" s="46"/>
      <c r="FY468" s="46"/>
      <c r="FZ468" s="46"/>
      <c r="GA468" s="46"/>
      <c r="GB468" s="46"/>
      <c r="GC468" s="46"/>
      <c r="GD468" s="46"/>
      <c r="GE468" s="46"/>
      <c r="GF468" s="46"/>
      <c r="GG468" s="46"/>
      <c r="GH468" s="46"/>
      <c r="GI468" s="46"/>
      <c r="GJ468" s="46"/>
      <c r="GK468" s="46"/>
      <c r="GL468" s="46"/>
      <c r="GM468" s="46"/>
      <c r="GN468" s="46"/>
      <c r="GO468" s="46"/>
      <c r="GP468" s="46"/>
    </row>
    <row r="469" spans="1:198" x14ac:dyDescent="0.2">
      <c r="B469" s="28" t="s">
        <v>139</v>
      </c>
      <c r="C469" s="182">
        <v>150.15100000000001</v>
      </c>
      <c r="D469" s="150"/>
      <c r="G469" s="148"/>
      <c r="H469" s="47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  <c r="CZ469" s="46"/>
      <c r="DA469" s="46"/>
      <c r="DB469" s="46"/>
      <c r="DC469" s="46"/>
      <c r="DD469" s="46"/>
      <c r="DE469" s="46"/>
      <c r="DF469" s="46"/>
      <c r="DG469" s="46"/>
      <c r="DH469" s="46"/>
      <c r="DI469" s="46"/>
      <c r="DJ469" s="46"/>
      <c r="DK469" s="46"/>
      <c r="DL469" s="46"/>
      <c r="DM469" s="46"/>
      <c r="DN469" s="46"/>
      <c r="DO469" s="46"/>
      <c r="DP469" s="46"/>
      <c r="DQ469" s="46"/>
      <c r="DR469" s="46"/>
      <c r="DS469" s="46"/>
      <c r="DT469" s="46"/>
      <c r="DU469" s="46"/>
      <c r="DV469" s="46"/>
      <c r="DW469" s="46"/>
      <c r="DX469" s="46"/>
      <c r="DY469" s="46"/>
      <c r="DZ469" s="46"/>
      <c r="EA469" s="46"/>
      <c r="EB469" s="46"/>
      <c r="EC469" s="46"/>
      <c r="ED469" s="46"/>
      <c r="EE469" s="46"/>
      <c r="EF469" s="46"/>
      <c r="EG469" s="46"/>
      <c r="EH469" s="46"/>
      <c r="EI469" s="46"/>
      <c r="EJ469" s="46"/>
      <c r="EK469" s="46"/>
      <c r="EL469" s="46"/>
      <c r="EM469" s="46"/>
      <c r="EN469" s="46"/>
      <c r="EO469" s="46"/>
      <c r="EP469" s="46"/>
      <c r="EQ469" s="46"/>
      <c r="ER469" s="46"/>
      <c r="ES469" s="46"/>
      <c r="ET469" s="46"/>
      <c r="EU469" s="46"/>
      <c r="EV469" s="46"/>
      <c r="EW469" s="46"/>
      <c r="EX469" s="46"/>
      <c r="EY469" s="46"/>
      <c r="EZ469" s="46"/>
      <c r="FA469" s="46"/>
      <c r="FB469" s="46"/>
      <c r="FC469" s="46"/>
      <c r="FD469" s="46"/>
      <c r="FE469" s="46"/>
      <c r="FF469" s="46"/>
      <c r="FG469" s="46"/>
      <c r="FH469" s="46"/>
      <c r="FI469" s="46"/>
      <c r="FJ469" s="46"/>
      <c r="FK469" s="46"/>
      <c r="FL469" s="46"/>
      <c r="FM469" s="46"/>
      <c r="FN469" s="46"/>
      <c r="FO469" s="46"/>
      <c r="FP469" s="46"/>
      <c r="FQ469" s="46"/>
      <c r="FR469" s="46"/>
      <c r="FS469" s="46"/>
      <c r="FT469" s="46"/>
      <c r="FU469" s="46"/>
      <c r="FV469" s="46"/>
      <c r="FW469" s="46"/>
      <c r="FX469" s="46"/>
      <c r="FY469" s="46"/>
      <c r="FZ469" s="46"/>
      <c r="GA469" s="46"/>
      <c r="GB469" s="46"/>
      <c r="GC469" s="46"/>
      <c r="GD469" s="46"/>
      <c r="GE469" s="46"/>
      <c r="GF469" s="46"/>
      <c r="GG469" s="46"/>
      <c r="GH469" s="46"/>
      <c r="GI469" s="46"/>
      <c r="GJ469" s="46"/>
      <c r="GK469" s="46"/>
      <c r="GL469" s="46"/>
      <c r="GM469" s="46"/>
      <c r="GN469" s="46"/>
      <c r="GO469" s="46"/>
      <c r="GP469" s="46"/>
    </row>
    <row r="470" spans="1:198" x14ac:dyDescent="0.2">
      <c r="B470" s="28" t="s">
        <v>105</v>
      </c>
      <c r="C470" s="182">
        <v>97.332999999999998</v>
      </c>
      <c r="D470" s="150"/>
      <c r="G470" s="148"/>
      <c r="H470" s="47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/>
      <c r="CS470" s="46"/>
      <c r="CT470" s="46"/>
      <c r="CU470" s="46"/>
      <c r="CV470" s="46"/>
      <c r="CW470" s="46"/>
      <c r="CX470" s="46"/>
      <c r="CY470" s="46"/>
      <c r="CZ470" s="46"/>
      <c r="DA470" s="46"/>
      <c r="DB470" s="46"/>
      <c r="DC470" s="46"/>
      <c r="DD470" s="46"/>
      <c r="DE470" s="46"/>
      <c r="DF470" s="46"/>
      <c r="DG470" s="46"/>
      <c r="DH470" s="46"/>
      <c r="DI470" s="46"/>
      <c r="DJ470" s="46"/>
      <c r="DK470" s="46"/>
      <c r="DL470" s="46"/>
      <c r="DM470" s="46"/>
      <c r="DN470" s="46"/>
      <c r="DO470" s="46"/>
      <c r="DP470" s="46"/>
      <c r="DQ470" s="46"/>
      <c r="DR470" s="46"/>
      <c r="DS470" s="46"/>
      <c r="DT470" s="46"/>
      <c r="DU470" s="46"/>
      <c r="DV470" s="46"/>
      <c r="DW470" s="46"/>
      <c r="DX470" s="46"/>
      <c r="DY470" s="46"/>
      <c r="DZ470" s="46"/>
      <c r="EA470" s="46"/>
      <c r="EB470" s="46"/>
      <c r="EC470" s="46"/>
      <c r="ED470" s="46"/>
      <c r="EE470" s="46"/>
      <c r="EF470" s="46"/>
      <c r="EG470" s="46"/>
      <c r="EH470" s="46"/>
      <c r="EI470" s="46"/>
      <c r="EJ470" s="46"/>
      <c r="EK470" s="46"/>
      <c r="EL470" s="46"/>
      <c r="EM470" s="46"/>
      <c r="EN470" s="46"/>
      <c r="EO470" s="46"/>
      <c r="EP470" s="46"/>
      <c r="EQ470" s="46"/>
      <c r="ER470" s="46"/>
      <c r="ES470" s="46"/>
      <c r="ET470" s="46"/>
      <c r="EU470" s="46"/>
      <c r="EV470" s="46"/>
      <c r="EW470" s="46"/>
      <c r="EX470" s="46"/>
      <c r="EY470" s="46"/>
      <c r="EZ470" s="46"/>
      <c r="FA470" s="46"/>
      <c r="FB470" s="46"/>
      <c r="FC470" s="46"/>
      <c r="FD470" s="46"/>
      <c r="FE470" s="46"/>
      <c r="FF470" s="46"/>
      <c r="FG470" s="46"/>
      <c r="FH470" s="46"/>
      <c r="FI470" s="46"/>
      <c r="FJ470" s="46"/>
      <c r="FK470" s="46"/>
      <c r="FL470" s="46"/>
      <c r="FM470" s="46"/>
      <c r="FN470" s="46"/>
      <c r="FO470" s="46"/>
      <c r="FP470" s="46"/>
      <c r="FQ470" s="46"/>
      <c r="FR470" s="46"/>
      <c r="FS470" s="46"/>
      <c r="FT470" s="46"/>
      <c r="FU470" s="46"/>
      <c r="FV470" s="46"/>
      <c r="FW470" s="46"/>
      <c r="FX470" s="46"/>
      <c r="FY470" s="46"/>
      <c r="FZ470" s="46"/>
      <c r="GA470" s="46"/>
      <c r="GB470" s="46"/>
      <c r="GC470" s="46"/>
      <c r="GD470" s="46"/>
      <c r="GE470" s="46"/>
      <c r="GF470" s="46"/>
      <c r="GG470" s="46"/>
      <c r="GH470" s="46"/>
      <c r="GI470" s="46"/>
      <c r="GJ470" s="46"/>
      <c r="GK470" s="46"/>
      <c r="GL470" s="46"/>
      <c r="GM470" s="46"/>
      <c r="GN470" s="46"/>
      <c r="GO470" s="46"/>
      <c r="GP470" s="46"/>
    </row>
    <row r="471" spans="1:198" x14ac:dyDescent="0.2">
      <c r="B471" s="28" t="s">
        <v>137</v>
      </c>
      <c r="C471" s="182">
        <v>104.42400000000001</v>
      </c>
      <c r="D471" s="150"/>
      <c r="G471" s="148"/>
      <c r="H471" s="47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/>
      <c r="CS471" s="46"/>
      <c r="CT471" s="46"/>
      <c r="CU471" s="46"/>
      <c r="CV471" s="46"/>
      <c r="CW471" s="46"/>
      <c r="CX471" s="46"/>
      <c r="CY471" s="46"/>
      <c r="CZ471" s="46"/>
      <c r="DA471" s="46"/>
      <c r="DB471" s="46"/>
      <c r="DC471" s="46"/>
      <c r="DD471" s="46"/>
      <c r="DE471" s="46"/>
      <c r="DF471" s="46"/>
      <c r="DG471" s="46"/>
      <c r="DH471" s="46"/>
      <c r="DI471" s="46"/>
      <c r="DJ471" s="46"/>
      <c r="DK471" s="46"/>
      <c r="DL471" s="46"/>
      <c r="DM471" s="46"/>
      <c r="DN471" s="46"/>
      <c r="DO471" s="46"/>
      <c r="DP471" s="46"/>
      <c r="DQ471" s="46"/>
      <c r="DR471" s="46"/>
      <c r="DS471" s="46"/>
      <c r="DT471" s="46"/>
      <c r="DU471" s="46"/>
      <c r="DV471" s="46"/>
      <c r="DW471" s="46"/>
      <c r="DX471" s="46"/>
      <c r="DY471" s="46"/>
      <c r="DZ471" s="46"/>
      <c r="EA471" s="46"/>
      <c r="EB471" s="46"/>
      <c r="EC471" s="46"/>
      <c r="ED471" s="46"/>
      <c r="EE471" s="46"/>
      <c r="EF471" s="46"/>
      <c r="EG471" s="46"/>
      <c r="EH471" s="46"/>
      <c r="EI471" s="46"/>
      <c r="EJ471" s="46"/>
      <c r="EK471" s="46"/>
      <c r="EL471" s="46"/>
      <c r="EM471" s="46"/>
      <c r="EN471" s="46"/>
      <c r="EO471" s="46"/>
      <c r="EP471" s="46"/>
      <c r="EQ471" s="46"/>
      <c r="ER471" s="46"/>
      <c r="ES471" s="46"/>
      <c r="ET471" s="46"/>
      <c r="EU471" s="46"/>
      <c r="EV471" s="46"/>
      <c r="EW471" s="46"/>
      <c r="EX471" s="46"/>
      <c r="EY471" s="46"/>
      <c r="EZ471" s="46"/>
      <c r="FA471" s="46"/>
      <c r="FB471" s="46"/>
      <c r="FC471" s="46"/>
      <c r="FD471" s="46"/>
      <c r="FE471" s="46"/>
      <c r="FF471" s="46"/>
      <c r="FG471" s="46"/>
      <c r="FH471" s="46"/>
      <c r="FI471" s="46"/>
      <c r="FJ471" s="46"/>
      <c r="FK471" s="46"/>
      <c r="FL471" s="46"/>
      <c r="FM471" s="46"/>
      <c r="FN471" s="46"/>
      <c r="FO471" s="46"/>
      <c r="FP471" s="46"/>
      <c r="FQ471" s="46"/>
      <c r="FR471" s="46"/>
      <c r="FS471" s="46"/>
      <c r="FT471" s="46"/>
      <c r="FU471" s="46"/>
      <c r="FV471" s="46"/>
      <c r="FW471" s="46"/>
      <c r="FX471" s="46"/>
      <c r="FY471" s="46"/>
      <c r="FZ471" s="46"/>
      <c r="GA471" s="46"/>
      <c r="GB471" s="46"/>
      <c r="GC471" s="46"/>
      <c r="GD471" s="46"/>
      <c r="GE471" s="46"/>
      <c r="GF471" s="46"/>
      <c r="GG471" s="46"/>
      <c r="GH471" s="46"/>
      <c r="GI471" s="46"/>
      <c r="GJ471" s="46"/>
      <c r="GK471" s="46"/>
      <c r="GL471" s="46"/>
      <c r="GM471" s="46"/>
      <c r="GN471" s="46"/>
      <c r="GO471" s="46"/>
      <c r="GP471" s="46"/>
    </row>
    <row r="472" spans="1:198" x14ac:dyDescent="0.2">
      <c r="B472" s="28" t="s">
        <v>27</v>
      </c>
      <c r="C472" s="182">
        <v>1.052</v>
      </c>
      <c r="D472" s="150"/>
      <c r="G472" s="148"/>
      <c r="H472" s="47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  <c r="CZ472" s="46"/>
      <c r="DA472" s="46"/>
      <c r="DB472" s="46"/>
      <c r="DC472" s="46"/>
      <c r="DD472" s="46"/>
      <c r="DE472" s="46"/>
      <c r="DF472" s="46"/>
      <c r="DG472" s="46"/>
      <c r="DH472" s="46"/>
      <c r="DI472" s="46"/>
      <c r="DJ472" s="46"/>
      <c r="DK472" s="46"/>
      <c r="DL472" s="46"/>
      <c r="DM472" s="46"/>
      <c r="DN472" s="46"/>
      <c r="DO472" s="46"/>
      <c r="DP472" s="46"/>
      <c r="DQ472" s="46"/>
      <c r="DR472" s="46"/>
      <c r="DS472" s="46"/>
      <c r="DT472" s="46"/>
      <c r="DU472" s="46"/>
      <c r="DV472" s="46"/>
      <c r="DW472" s="46"/>
      <c r="DX472" s="46"/>
      <c r="DY472" s="46"/>
      <c r="DZ472" s="46"/>
      <c r="EA472" s="46"/>
      <c r="EB472" s="46"/>
      <c r="EC472" s="46"/>
      <c r="ED472" s="46"/>
      <c r="EE472" s="46"/>
      <c r="EF472" s="46"/>
      <c r="EG472" s="46"/>
      <c r="EH472" s="46"/>
      <c r="EI472" s="46"/>
      <c r="EJ472" s="46"/>
      <c r="EK472" s="46"/>
      <c r="EL472" s="46"/>
      <c r="EM472" s="46"/>
      <c r="EN472" s="46"/>
      <c r="EO472" s="46"/>
      <c r="EP472" s="46"/>
      <c r="EQ472" s="46"/>
      <c r="ER472" s="46"/>
      <c r="ES472" s="46"/>
      <c r="ET472" s="46"/>
      <c r="EU472" s="46"/>
      <c r="EV472" s="46"/>
      <c r="EW472" s="46"/>
      <c r="EX472" s="46"/>
      <c r="EY472" s="46"/>
      <c r="EZ472" s="46"/>
      <c r="FA472" s="46"/>
      <c r="FB472" s="46"/>
      <c r="FC472" s="46"/>
      <c r="FD472" s="46"/>
      <c r="FE472" s="46"/>
      <c r="FF472" s="46"/>
      <c r="FG472" s="46"/>
      <c r="FH472" s="46"/>
      <c r="FI472" s="46"/>
      <c r="FJ472" s="46"/>
      <c r="FK472" s="46"/>
      <c r="FL472" s="46"/>
      <c r="FM472" s="46"/>
      <c r="FN472" s="46"/>
      <c r="FO472" s="46"/>
      <c r="FP472" s="46"/>
      <c r="FQ472" s="46"/>
      <c r="FR472" s="46"/>
      <c r="FS472" s="46"/>
      <c r="FT472" s="46"/>
      <c r="FU472" s="46"/>
      <c r="FV472" s="46"/>
      <c r="FW472" s="46"/>
      <c r="FX472" s="46"/>
      <c r="FY472" s="46"/>
      <c r="FZ472" s="46"/>
      <c r="GA472" s="46"/>
      <c r="GB472" s="46"/>
      <c r="GC472" s="46"/>
      <c r="GD472" s="46"/>
      <c r="GE472" s="46"/>
      <c r="GF472" s="46"/>
      <c r="GG472" s="46"/>
      <c r="GH472" s="46"/>
      <c r="GI472" s="46"/>
      <c r="GJ472" s="46"/>
      <c r="GK472" s="46"/>
      <c r="GL472" s="46"/>
      <c r="GM472" s="46"/>
      <c r="GN472" s="46"/>
      <c r="GO472" s="46"/>
      <c r="GP472" s="46"/>
    </row>
    <row r="473" spans="1:198" x14ac:dyDescent="0.2">
      <c r="B473" s="28" t="s">
        <v>29</v>
      </c>
      <c r="C473" s="182">
        <v>17.033000000000001</v>
      </c>
      <c r="D473" s="150"/>
      <c r="G473" s="148"/>
      <c r="H473" s="47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  <c r="CZ473" s="46"/>
      <c r="DA473" s="46"/>
      <c r="DB473" s="46"/>
      <c r="DC473" s="46"/>
      <c r="DD473" s="46"/>
      <c r="DE473" s="46"/>
      <c r="DF473" s="46"/>
      <c r="DG473" s="46"/>
      <c r="DH473" s="46"/>
      <c r="DI473" s="46"/>
      <c r="DJ473" s="46"/>
      <c r="DK473" s="46"/>
      <c r="DL473" s="46"/>
      <c r="DM473" s="46"/>
      <c r="DN473" s="46"/>
      <c r="DO473" s="46"/>
      <c r="DP473" s="46"/>
      <c r="DQ473" s="46"/>
      <c r="DR473" s="46"/>
      <c r="DS473" s="46"/>
      <c r="DT473" s="46"/>
      <c r="DU473" s="46"/>
      <c r="DV473" s="46"/>
      <c r="DW473" s="46"/>
      <c r="DX473" s="46"/>
      <c r="DY473" s="46"/>
      <c r="DZ473" s="46"/>
      <c r="EA473" s="46"/>
      <c r="EB473" s="46"/>
      <c r="EC473" s="46"/>
      <c r="ED473" s="46"/>
      <c r="EE473" s="46"/>
      <c r="EF473" s="46"/>
      <c r="EG473" s="46"/>
      <c r="EH473" s="46"/>
      <c r="EI473" s="46"/>
      <c r="EJ473" s="46"/>
      <c r="EK473" s="46"/>
      <c r="EL473" s="46"/>
      <c r="EM473" s="46"/>
      <c r="EN473" s="46"/>
      <c r="EO473" s="46"/>
      <c r="EP473" s="46"/>
      <c r="EQ473" s="46"/>
      <c r="ER473" s="46"/>
      <c r="ES473" s="46"/>
      <c r="ET473" s="46"/>
      <c r="EU473" s="46"/>
      <c r="EV473" s="46"/>
      <c r="EW473" s="46"/>
      <c r="EX473" s="46"/>
      <c r="EY473" s="46"/>
      <c r="EZ473" s="46"/>
      <c r="FA473" s="46"/>
      <c r="FB473" s="46"/>
      <c r="FC473" s="46"/>
      <c r="FD473" s="46"/>
      <c r="FE473" s="46"/>
      <c r="FF473" s="46"/>
      <c r="FG473" s="46"/>
      <c r="FH473" s="46"/>
      <c r="FI473" s="46"/>
      <c r="FJ473" s="46"/>
      <c r="FK473" s="46"/>
      <c r="FL473" s="46"/>
      <c r="FM473" s="46"/>
      <c r="FN473" s="46"/>
      <c r="FO473" s="46"/>
      <c r="FP473" s="46"/>
      <c r="FQ473" s="46"/>
      <c r="FR473" s="46"/>
      <c r="FS473" s="46"/>
      <c r="FT473" s="46"/>
      <c r="FU473" s="46"/>
      <c r="FV473" s="46"/>
      <c r="FW473" s="46"/>
      <c r="FX473" s="46"/>
      <c r="FY473" s="46"/>
      <c r="FZ473" s="46"/>
      <c r="GA473" s="46"/>
      <c r="GB473" s="46"/>
      <c r="GC473" s="46"/>
      <c r="GD473" s="46"/>
      <c r="GE473" s="46"/>
      <c r="GF473" s="46"/>
      <c r="GG473" s="46"/>
      <c r="GH473" s="46"/>
      <c r="GI473" s="46"/>
      <c r="GJ473" s="46"/>
      <c r="GK473" s="46"/>
      <c r="GL473" s="46"/>
      <c r="GM473" s="46"/>
      <c r="GN473" s="46"/>
      <c r="GO473" s="46"/>
      <c r="GP473" s="46"/>
    </row>
    <row r="474" spans="1:198" x14ac:dyDescent="0.2">
      <c r="B474" s="28" t="s">
        <v>97</v>
      </c>
      <c r="C474" s="182">
        <v>126.98</v>
      </c>
      <c r="D474" s="150"/>
      <c r="G474" s="148"/>
      <c r="H474" s="47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  <c r="CZ474" s="46"/>
      <c r="DA474" s="46"/>
      <c r="DB474" s="46"/>
      <c r="DC474" s="46"/>
      <c r="DD474" s="46"/>
      <c r="DE474" s="46"/>
      <c r="DF474" s="46"/>
      <c r="DG474" s="46"/>
      <c r="DH474" s="46"/>
      <c r="DI474" s="46"/>
      <c r="DJ474" s="46"/>
      <c r="DK474" s="46"/>
      <c r="DL474" s="46"/>
      <c r="DM474" s="46"/>
      <c r="DN474" s="46"/>
      <c r="DO474" s="46"/>
      <c r="DP474" s="46"/>
      <c r="DQ474" s="46"/>
      <c r="DR474" s="46"/>
      <c r="DS474" s="46"/>
      <c r="DT474" s="46"/>
      <c r="DU474" s="46"/>
      <c r="DV474" s="46"/>
      <c r="DW474" s="46"/>
      <c r="DX474" s="46"/>
      <c r="DY474" s="46"/>
      <c r="DZ474" s="46"/>
      <c r="EA474" s="46"/>
      <c r="EB474" s="46"/>
      <c r="EC474" s="46"/>
      <c r="ED474" s="46"/>
      <c r="EE474" s="46"/>
      <c r="EF474" s="46"/>
      <c r="EG474" s="46"/>
      <c r="EH474" s="46"/>
      <c r="EI474" s="46"/>
      <c r="EJ474" s="46"/>
      <c r="EK474" s="46"/>
      <c r="EL474" s="46"/>
      <c r="EM474" s="46"/>
      <c r="EN474" s="46"/>
      <c r="EO474" s="46"/>
      <c r="EP474" s="46"/>
      <c r="EQ474" s="46"/>
      <c r="ER474" s="46"/>
      <c r="ES474" s="46"/>
      <c r="ET474" s="46"/>
      <c r="EU474" s="46"/>
      <c r="EV474" s="46"/>
      <c r="EW474" s="46"/>
      <c r="EX474" s="46"/>
      <c r="EY474" s="46"/>
      <c r="EZ474" s="46"/>
      <c r="FA474" s="46"/>
      <c r="FB474" s="46"/>
      <c r="FC474" s="46"/>
      <c r="FD474" s="46"/>
      <c r="FE474" s="46"/>
      <c r="FF474" s="46"/>
      <c r="FG474" s="46"/>
      <c r="FH474" s="46"/>
      <c r="FI474" s="46"/>
      <c r="FJ474" s="46"/>
      <c r="FK474" s="46"/>
      <c r="FL474" s="46"/>
      <c r="FM474" s="46"/>
      <c r="FN474" s="46"/>
      <c r="FO474" s="46"/>
      <c r="FP474" s="46"/>
      <c r="FQ474" s="46"/>
      <c r="FR474" s="46"/>
      <c r="FS474" s="46"/>
      <c r="FT474" s="46"/>
      <c r="FU474" s="46"/>
      <c r="FV474" s="46"/>
      <c r="FW474" s="46"/>
      <c r="FX474" s="46"/>
      <c r="FY474" s="46"/>
      <c r="FZ474" s="46"/>
      <c r="GA474" s="46"/>
      <c r="GB474" s="46"/>
      <c r="GC474" s="46"/>
      <c r="GD474" s="46"/>
      <c r="GE474" s="46"/>
      <c r="GF474" s="46"/>
      <c r="GG474" s="46"/>
      <c r="GH474" s="46"/>
      <c r="GI474" s="46"/>
      <c r="GJ474" s="46"/>
      <c r="GK474" s="46"/>
      <c r="GL474" s="46"/>
      <c r="GM474" s="46"/>
      <c r="GN474" s="46"/>
      <c r="GO474" s="46"/>
      <c r="GP474" s="46"/>
    </row>
    <row r="475" spans="1:198" x14ac:dyDescent="0.2">
      <c r="B475" s="28" t="s">
        <v>140</v>
      </c>
      <c r="C475" s="182">
        <v>15.21</v>
      </c>
      <c r="D475" s="150"/>
      <c r="G475" s="148"/>
      <c r="H475" s="47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  <c r="CZ475" s="46"/>
      <c r="DA475" s="46"/>
      <c r="DB475" s="46"/>
      <c r="DC475" s="46"/>
      <c r="DD475" s="46"/>
      <c r="DE475" s="46"/>
      <c r="DF475" s="46"/>
      <c r="DG475" s="46"/>
      <c r="DH475" s="46"/>
      <c r="DI475" s="46"/>
      <c r="DJ475" s="46"/>
      <c r="DK475" s="46"/>
      <c r="DL475" s="46"/>
      <c r="DM475" s="46"/>
      <c r="DN475" s="46"/>
      <c r="DO475" s="46"/>
      <c r="DP475" s="46"/>
      <c r="DQ475" s="46"/>
      <c r="DR475" s="46"/>
      <c r="DS475" s="46"/>
      <c r="DT475" s="46"/>
      <c r="DU475" s="46"/>
      <c r="DV475" s="46"/>
      <c r="DW475" s="46"/>
      <c r="DX475" s="46"/>
      <c r="DY475" s="46"/>
      <c r="DZ475" s="46"/>
      <c r="EA475" s="46"/>
      <c r="EB475" s="46"/>
      <c r="EC475" s="46"/>
      <c r="ED475" s="46"/>
      <c r="EE475" s="46"/>
      <c r="EF475" s="46"/>
      <c r="EG475" s="46"/>
      <c r="EH475" s="46"/>
      <c r="EI475" s="46"/>
      <c r="EJ475" s="46"/>
      <c r="EK475" s="46"/>
      <c r="EL475" s="46"/>
      <c r="EM475" s="46"/>
      <c r="EN475" s="46"/>
      <c r="EO475" s="46"/>
      <c r="EP475" s="46"/>
      <c r="EQ475" s="46"/>
      <c r="ER475" s="46"/>
      <c r="ES475" s="46"/>
      <c r="ET475" s="46"/>
      <c r="EU475" s="46"/>
      <c r="EV475" s="46"/>
      <c r="EW475" s="46"/>
      <c r="EX475" s="46"/>
      <c r="EY475" s="46"/>
      <c r="EZ475" s="46"/>
      <c r="FA475" s="46"/>
      <c r="FB475" s="46"/>
      <c r="FC475" s="46"/>
      <c r="FD475" s="46"/>
      <c r="FE475" s="46"/>
      <c r="FF475" s="46"/>
      <c r="FG475" s="46"/>
      <c r="FH475" s="46"/>
      <c r="FI475" s="46"/>
      <c r="FJ475" s="46"/>
      <c r="FK475" s="46"/>
      <c r="FL475" s="46"/>
      <c r="FM475" s="46"/>
      <c r="FN475" s="46"/>
      <c r="FO475" s="46"/>
      <c r="FP475" s="46"/>
      <c r="FQ475" s="46"/>
      <c r="FR475" s="46"/>
      <c r="FS475" s="46"/>
      <c r="FT475" s="46"/>
      <c r="FU475" s="46"/>
      <c r="FV475" s="46"/>
      <c r="FW475" s="46"/>
      <c r="FX475" s="46"/>
      <c r="FY475" s="46"/>
      <c r="FZ475" s="46"/>
      <c r="GA475" s="46"/>
      <c r="GB475" s="46"/>
      <c r="GC475" s="46"/>
      <c r="GD475" s="46"/>
      <c r="GE475" s="46"/>
      <c r="GF475" s="46"/>
      <c r="GG475" s="46"/>
      <c r="GH475" s="46"/>
      <c r="GI475" s="46"/>
      <c r="GJ475" s="46"/>
      <c r="GK475" s="46"/>
      <c r="GL475" s="46"/>
      <c r="GM475" s="46"/>
      <c r="GN475" s="46"/>
      <c r="GO475" s="46"/>
      <c r="GP475" s="46"/>
    </row>
    <row r="476" spans="1:198" x14ac:dyDescent="0.2">
      <c r="B476" s="28" t="s">
        <v>89</v>
      </c>
      <c r="C476" s="182">
        <v>346.5</v>
      </c>
      <c r="D476" s="150"/>
      <c r="G476" s="148"/>
      <c r="H476" s="47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  <c r="CZ476" s="46"/>
      <c r="DA476" s="46"/>
      <c r="DB476" s="46"/>
      <c r="DC476" s="46"/>
      <c r="DD476" s="46"/>
      <c r="DE476" s="46"/>
      <c r="DF476" s="46"/>
      <c r="DG476" s="46"/>
      <c r="DH476" s="46"/>
      <c r="DI476" s="46"/>
      <c r="DJ476" s="46"/>
      <c r="DK476" s="46"/>
      <c r="DL476" s="46"/>
      <c r="DM476" s="46"/>
      <c r="DN476" s="46"/>
      <c r="DO476" s="46"/>
      <c r="DP476" s="46"/>
      <c r="DQ476" s="46"/>
      <c r="DR476" s="46"/>
      <c r="DS476" s="46"/>
      <c r="DT476" s="46"/>
      <c r="DU476" s="46"/>
      <c r="DV476" s="46"/>
      <c r="DW476" s="46"/>
      <c r="DX476" s="46"/>
      <c r="DY476" s="46"/>
      <c r="DZ476" s="46"/>
      <c r="EA476" s="46"/>
      <c r="EB476" s="46"/>
      <c r="EC476" s="46"/>
      <c r="ED476" s="46"/>
      <c r="EE476" s="46"/>
      <c r="EF476" s="46"/>
      <c r="EG476" s="46"/>
      <c r="EH476" s="46"/>
      <c r="EI476" s="46"/>
      <c r="EJ476" s="46"/>
      <c r="EK476" s="46"/>
      <c r="EL476" s="46"/>
      <c r="EM476" s="46"/>
      <c r="EN476" s="46"/>
      <c r="EO476" s="46"/>
      <c r="EP476" s="46"/>
      <c r="EQ476" s="46"/>
      <c r="ER476" s="46"/>
      <c r="ES476" s="46"/>
      <c r="ET476" s="46"/>
      <c r="EU476" s="46"/>
      <c r="EV476" s="46"/>
      <c r="EW476" s="46"/>
      <c r="EX476" s="46"/>
      <c r="EY476" s="46"/>
      <c r="EZ476" s="46"/>
      <c r="FA476" s="46"/>
      <c r="FB476" s="46"/>
      <c r="FC476" s="46"/>
      <c r="FD476" s="46"/>
      <c r="FE476" s="46"/>
      <c r="FF476" s="46"/>
      <c r="FG476" s="46"/>
      <c r="FH476" s="46"/>
      <c r="FI476" s="46"/>
      <c r="FJ476" s="46"/>
      <c r="FK476" s="46"/>
      <c r="FL476" s="46"/>
      <c r="FM476" s="46"/>
      <c r="FN476" s="46"/>
      <c r="FO476" s="46"/>
      <c r="FP476" s="46"/>
      <c r="FQ476" s="46"/>
      <c r="FR476" s="46"/>
      <c r="FS476" s="46"/>
      <c r="FT476" s="46"/>
      <c r="FU476" s="46"/>
      <c r="FV476" s="46"/>
      <c r="FW476" s="46"/>
      <c r="FX476" s="46"/>
      <c r="FY476" s="46"/>
      <c r="FZ476" s="46"/>
      <c r="GA476" s="46"/>
      <c r="GB476" s="46"/>
      <c r="GC476" s="46"/>
      <c r="GD476" s="46"/>
      <c r="GE476" s="46"/>
      <c r="GF476" s="46"/>
      <c r="GG476" s="46"/>
      <c r="GH476" s="46"/>
      <c r="GI476" s="46"/>
      <c r="GJ476" s="46"/>
      <c r="GK476" s="46"/>
      <c r="GL476" s="46"/>
      <c r="GM476" s="46"/>
      <c r="GN476" s="46"/>
      <c r="GO476" s="46"/>
      <c r="GP476" s="46"/>
    </row>
    <row r="477" spans="1:198" x14ac:dyDescent="0.2">
      <c r="B477" s="28" t="s">
        <v>20</v>
      </c>
      <c r="C477" s="182">
        <v>16.95</v>
      </c>
      <c r="D477" s="150"/>
      <c r="G477" s="148"/>
      <c r="H477" s="47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  <c r="CZ477" s="46"/>
      <c r="DA477" s="46"/>
      <c r="DB477" s="46"/>
      <c r="DC477" s="46"/>
      <c r="DD477" s="46"/>
      <c r="DE477" s="46"/>
      <c r="DF477" s="46"/>
      <c r="DG477" s="46"/>
      <c r="DH477" s="46"/>
      <c r="DI477" s="46"/>
      <c r="DJ477" s="46"/>
      <c r="DK477" s="46"/>
      <c r="DL477" s="46"/>
      <c r="DM477" s="46"/>
      <c r="DN477" s="46"/>
      <c r="DO477" s="46"/>
      <c r="DP477" s="46"/>
      <c r="DQ477" s="46"/>
      <c r="DR477" s="46"/>
      <c r="DS477" s="46"/>
      <c r="DT477" s="46"/>
      <c r="DU477" s="46"/>
      <c r="DV477" s="46"/>
      <c r="DW477" s="46"/>
      <c r="DX477" s="46"/>
      <c r="DY477" s="46"/>
      <c r="DZ477" s="46"/>
      <c r="EA477" s="46"/>
      <c r="EB477" s="46"/>
      <c r="EC477" s="46"/>
      <c r="ED477" s="46"/>
      <c r="EE477" s="46"/>
      <c r="EF477" s="46"/>
      <c r="EG477" s="46"/>
      <c r="EH477" s="46"/>
      <c r="EI477" s="46"/>
      <c r="EJ477" s="46"/>
      <c r="EK477" s="46"/>
      <c r="EL477" s="46"/>
      <c r="EM477" s="46"/>
      <c r="EN477" s="46"/>
      <c r="EO477" s="46"/>
      <c r="EP477" s="46"/>
      <c r="EQ477" s="46"/>
      <c r="ER477" s="46"/>
      <c r="ES477" s="46"/>
      <c r="ET477" s="46"/>
      <c r="EU477" s="46"/>
      <c r="EV477" s="46"/>
      <c r="EW477" s="46"/>
      <c r="EX477" s="46"/>
      <c r="EY477" s="46"/>
      <c r="EZ477" s="46"/>
      <c r="FA477" s="46"/>
      <c r="FB477" s="46"/>
      <c r="FC477" s="46"/>
      <c r="FD477" s="46"/>
      <c r="FE477" s="46"/>
      <c r="FF477" s="46"/>
      <c r="FG477" s="46"/>
      <c r="FH477" s="46"/>
      <c r="FI477" s="46"/>
      <c r="FJ477" s="46"/>
      <c r="FK477" s="46"/>
      <c r="FL477" s="46"/>
      <c r="FM477" s="46"/>
      <c r="FN477" s="46"/>
      <c r="FO477" s="46"/>
      <c r="FP477" s="46"/>
      <c r="FQ477" s="46"/>
      <c r="FR477" s="46"/>
      <c r="FS477" s="46"/>
      <c r="FT477" s="46"/>
      <c r="FU477" s="46"/>
      <c r="FV477" s="46"/>
      <c r="FW477" s="46"/>
      <c r="FX477" s="46"/>
      <c r="FY477" s="46"/>
      <c r="FZ477" s="46"/>
      <c r="GA477" s="46"/>
      <c r="GB477" s="46"/>
      <c r="GC477" s="46"/>
      <c r="GD477" s="46"/>
      <c r="GE477" s="46"/>
      <c r="GF477" s="46"/>
      <c r="GG477" s="46"/>
      <c r="GH477" s="46"/>
      <c r="GI477" s="46"/>
      <c r="GJ477" s="46"/>
      <c r="GK477" s="46"/>
      <c r="GL477" s="46"/>
      <c r="GM477" s="46"/>
      <c r="GN477" s="46"/>
      <c r="GO477" s="46"/>
      <c r="GP477" s="46"/>
    </row>
    <row r="478" spans="1:198" x14ac:dyDescent="0.2">
      <c r="B478" s="148" t="s">
        <v>172</v>
      </c>
      <c r="C478" s="183">
        <v>15.6744</v>
      </c>
      <c r="D478" s="159"/>
      <c r="G478" s="148"/>
      <c r="H478" s="47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46"/>
      <c r="DP478" s="46"/>
      <c r="DQ478" s="46"/>
      <c r="DR478" s="46"/>
      <c r="DS478" s="46"/>
      <c r="DT478" s="46"/>
      <c r="DU478" s="46"/>
      <c r="DV478" s="46"/>
      <c r="DW478" s="46"/>
      <c r="DX478" s="46"/>
      <c r="DY478" s="46"/>
      <c r="DZ478" s="46"/>
      <c r="EA478" s="46"/>
      <c r="EB478" s="46"/>
      <c r="EC478" s="46"/>
      <c r="ED478" s="46"/>
      <c r="EE478" s="46"/>
      <c r="EF478" s="46"/>
      <c r="EG478" s="46"/>
      <c r="EH478" s="46"/>
      <c r="EI478" s="46"/>
      <c r="EJ478" s="46"/>
      <c r="EK478" s="46"/>
      <c r="EL478" s="46"/>
      <c r="EM478" s="46"/>
      <c r="EN478" s="46"/>
      <c r="EO478" s="46"/>
      <c r="EP478" s="46"/>
      <c r="EQ478" s="46"/>
      <c r="ER478" s="46"/>
      <c r="ES478" s="46"/>
      <c r="ET478" s="46"/>
      <c r="EU478" s="46"/>
      <c r="EV478" s="46"/>
      <c r="EW478" s="46"/>
      <c r="EX478" s="46"/>
      <c r="EY478" s="46"/>
      <c r="EZ478" s="46"/>
      <c r="FA478" s="46"/>
      <c r="FB478" s="46"/>
      <c r="FC478" s="46"/>
      <c r="FD478" s="46"/>
      <c r="FE478" s="46"/>
      <c r="FF478" s="46"/>
      <c r="FG478" s="46"/>
      <c r="FH478" s="46"/>
      <c r="FI478" s="46"/>
      <c r="FJ478" s="46"/>
      <c r="FK478" s="46"/>
      <c r="FL478" s="46"/>
      <c r="FM478" s="46"/>
      <c r="FN478" s="46"/>
      <c r="FO478" s="46"/>
      <c r="FP478" s="46"/>
      <c r="FQ478" s="46"/>
      <c r="FR478" s="46"/>
      <c r="FS478" s="46"/>
      <c r="FT478" s="46"/>
      <c r="FU478" s="46"/>
      <c r="FV478" s="46"/>
      <c r="FW478" s="46"/>
      <c r="FX478" s="46"/>
      <c r="FY478" s="46"/>
      <c r="FZ478" s="46"/>
      <c r="GA478" s="46"/>
      <c r="GB478" s="46"/>
      <c r="GC478" s="46"/>
      <c r="GD478" s="46"/>
      <c r="GE478" s="46"/>
      <c r="GF478" s="46"/>
      <c r="GG478" s="46"/>
      <c r="GH478" s="46"/>
      <c r="GI478" s="46"/>
      <c r="GJ478" s="46"/>
      <c r="GK478" s="46"/>
      <c r="GL478" s="46"/>
      <c r="GM478" s="46"/>
      <c r="GN478" s="46"/>
      <c r="GO478" s="46"/>
      <c r="GP478" s="46"/>
    </row>
    <row r="479" spans="1:198" x14ac:dyDescent="0.2">
      <c r="B479" s="28" t="s">
        <v>53</v>
      </c>
      <c r="C479" s="182">
        <v>15.91</v>
      </c>
      <c r="D479" s="150"/>
      <c r="G479" s="148"/>
      <c r="H479" s="47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  <c r="CZ479" s="46"/>
      <c r="DA479" s="46"/>
      <c r="DB479" s="46"/>
      <c r="DC479" s="46"/>
      <c r="DD479" s="46"/>
      <c r="DE479" s="46"/>
      <c r="DF479" s="46"/>
      <c r="DG479" s="46"/>
      <c r="DH479" s="46"/>
      <c r="DI479" s="46"/>
      <c r="DJ479" s="46"/>
      <c r="DK479" s="46"/>
      <c r="DL479" s="46"/>
      <c r="DM479" s="46"/>
      <c r="DN479" s="46"/>
      <c r="DO479" s="46"/>
      <c r="DP479" s="46"/>
      <c r="DQ479" s="46"/>
      <c r="DR479" s="46"/>
      <c r="DS479" s="46"/>
      <c r="DT479" s="46"/>
      <c r="DU479" s="46"/>
      <c r="DV479" s="46"/>
      <c r="DW479" s="46"/>
      <c r="DX479" s="46"/>
      <c r="DY479" s="46"/>
      <c r="DZ479" s="46"/>
      <c r="EA479" s="46"/>
      <c r="EB479" s="46"/>
      <c r="EC479" s="46"/>
      <c r="ED479" s="46"/>
      <c r="EE479" s="46"/>
      <c r="EF479" s="46"/>
      <c r="EG479" s="46"/>
      <c r="EH479" s="46"/>
      <c r="EI479" s="46"/>
      <c r="EJ479" s="46"/>
      <c r="EK479" s="46"/>
      <c r="EL479" s="46"/>
      <c r="EM479" s="46"/>
      <c r="EN479" s="46"/>
      <c r="EO479" s="46"/>
      <c r="EP479" s="46"/>
      <c r="EQ479" s="46"/>
      <c r="ER479" s="46"/>
      <c r="ES479" s="46"/>
      <c r="ET479" s="46"/>
      <c r="EU479" s="46"/>
      <c r="EV479" s="46"/>
      <c r="EW479" s="46"/>
      <c r="EX479" s="46"/>
      <c r="EY479" s="46"/>
      <c r="EZ479" s="46"/>
      <c r="FA479" s="46"/>
      <c r="FB479" s="46"/>
      <c r="FC479" s="46"/>
      <c r="FD479" s="46"/>
      <c r="FE479" s="46"/>
      <c r="FF479" s="46"/>
      <c r="FG479" s="46"/>
      <c r="FH479" s="46"/>
      <c r="FI479" s="46"/>
      <c r="FJ479" s="46"/>
      <c r="FK479" s="46"/>
      <c r="FL479" s="46"/>
      <c r="FM479" s="46"/>
      <c r="FN479" s="46"/>
      <c r="FO479" s="46"/>
      <c r="FP479" s="46"/>
      <c r="FQ479" s="46"/>
      <c r="FR479" s="46"/>
      <c r="FS479" s="46"/>
      <c r="FT479" s="46"/>
      <c r="FU479" s="46"/>
      <c r="FV479" s="46"/>
      <c r="FW479" s="46"/>
      <c r="FX479" s="46"/>
      <c r="FY479" s="46"/>
      <c r="FZ479" s="46"/>
      <c r="GA479" s="46"/>
      <c r="GB479" s="46"/>
      <c r="GC479" s="46"/>
      <c r="GD479" s="46"/>
      <c r="GE479" s="46"/>
      <c r="GF479" s="46"/>
      <c r="GG479" s="46"/>
      <c r="GH479" s="46"/>
      <c r="GI479" s="46"/>
      <c r="GJ479" s="46"/>
      <c r="GK479" s="46"/>
      <c r="GL479" s="46"/>
      <c r="GM479" s="46"/>
      <c r="GN479" s="46"/>
      <c r="GO479" s="46"/>
      <c r="GP479" s="46"/>
    </row>
    <row r="480" spans="1:198" x14ac:dyDescent="0.2">
      <c r="B480" s="28" t="s">
        <v>65</v>
      </c>
      <c r="C480" s="182">
        <v>148.37</v>
      </c>
      <c r="D480" s="150"/>
      <c r="G480" s="148"/>
      <c r="H480" s="47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  <c r="CU480" s="46"/>
      <c r="CV480" s="46"/>
      <c r="CW480" s="46"/>
      <c r="CX480" s="46"/>
      <c r="CY480" s="46"/>
      <c r="CZ480" s="46"/>
      <c r="DA480" s="46"/>
      <c r="DB480" s="46"/>
      <c r="DC480" s="46"/>
      <c r="DD480" s="46"/>
      <c r="DE480" s="46"/>
      <c r="DF480" s="46"/>
      <c r="DG480" s="46"/>
      <c r="DH480" s="46"/>
      <c r="DI480" s="46"/>
      <c r="DJ480" s="46"/>
      <c r="DK480" s="46"/>
      <c r="DL480" s="46"/>
      <c r="DM480" s="46"/>
      <c r="DN480" s="46"/>
      <c r="DO480" s="46"/>
      <c r="DP480" s="46"/>
      <c r="DQ480" s="46"/>
      <c r="DR480" s="46"/>
      <c r="DS480" s="46"/>
      <c r="DT480" s="46"/>
      <c r="DU480" s="46"/>
      <c r="DV480" s="46"/>
      <c r="DW480" s="46"/>
      <c r="DX480" s="46"/>
      <c r="DY480" s="46"/>
      <c r="DZ480" s="46"/>
      <c r="EA480" s="46"/>
      <c r="EB480" s="46"/>
      <c r="EC480" s="46"/>
      <c r="ED480" s="46"/>
      <c r="EE480" s="46"/>
      <c r="EF480" s="46"/>
      <c r="EG480" s="46"/>
      <c r="EH480" s="46"/>
      <c r="EI480" s="46"/>
      <c r="EJ480" s="46"/>
      <c r="EK480" s="46"/>
      <c r="EL480" s="46"/>
      <c r="EM480" s="46"/>
      <c r="EN480" s="46"/>
      <c r="EO480" s="46"/>
      <c r="EP480" s="46"/>
      <c r="EQ480" s="46"/>
      <c r="ER480" s="46"/>
      <c r="ES480" s="46"/>
      <c r="ET480" s="46"/>
      <c r="EU480" s="46"/>
      <c r="EV480" s="46"/>
      <c r="EW480" s="46"/>
      <c r="EX480" s="46"/>
      <c r="EY480" s="46"/>
      <c r="EZ480" s="46"/>
      <c r="FA480" s="46"/>
      <c r="FB480" s="46"/>
      <c r="FC480" s="46"/>
      <c r="FD480" s="46"/>
      <c r="FE480" s="46"/>
      <c r="FF480" s="46"/>
      <c r="FG480" s="46"/>
      <c r="FH480" s="46"/>
      <c r="FI480" s="46"/>
      <c r="FJ480" s="46"/>
      <c r="FK480" s="46"/>
      <c r="FL480" s="46"/>
      <c r="FM480" s="46"/>
      <c r="FN480" s="46"/>
      <c r="FO480" s="46"/>
      <c r="FP480" s="46"/>
      <c r="FQ480" s="46"/>
      <c r="FR480" s="46"/>
      <c r="FS480" s="46"/>
      <c r="FT480" s="46"/>
      <c r="FU480" s="46"/>
      <c r="FV480" s="46"/>
      <c r="FW480" s="46"/>
      <c r="FX480" s="46"/>
      <c r="FY480" s="46"/>
      <c r="FZ480" s="46"/>
      <c r="GA480" s="46"/>
      <c r="GB480" s="46"/>
      <c r="GC480" s="46"/>
      <c r="GD480" s="46"/>
      <c r="GE480" s="46"/>
      <c r="GF480" s="46"/>
      <c r="GG480" s="46"/>
      <c r="GH480" s="46"/>
      <c r="GI480" s="46"/>
      <c r="GJ480" s="46"/>
      <c r="GK480" s="46"/>
      <c r="GL480" s="46"/>
      <c r="GM480" s="46"/>
      <c r="GN480" s="46"/>
      <c r="GO480" s="46"/>
      <c r="GP480" s="46"/>
    </row>
    <row r="481" spans="2:198" x14ac:dyDescent="0.2">
      <c r="B481" s="148" t="s">
        <v>163</v>
      </c>
      <c r="C481" s="182">
        <v>184.28</v>
      </c>
      <c r="D481" s="150"/>
      <c r="G481" s="148"/>
      <c r="H481" s="47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  <c r="CZ481" s="46"/>
      <c r="DA481" s="46"/>
      <c r="DB481" s="46"/>
      <c r="DC481" s="46"/>
      <c r="DD481" s="46"/>
      <c r="DE481" s="46"/>
      <c r="DF481" s="46"/>
      <c r="DG481" s="46"/>
      <c r="DH481" s="46"/>
      <c r="DI481" s="46"/>
      <c r="DJ481" s="46"/>
      <c r="DK481" s="46"/>
      <c r="DL481" s="46"/>
      <c r="DM481" s="46"/>
      <c r="DN481" s="46"/>
      <c r="DO481" s="46"/>
      <c r="DP481" s="46"/>
      <c r="DQ481" s="46"/>
      <c r="DR481" s="46"/>
      <c r="DS481" s="46"/>
      <c r="DT481" s="46"/>
      <c r="DU481" s="46"/>
      <c r="DV481" s="46"/>
      <c r="DW481" s="46"/>
      <c r="DX481" s="46"/>
      <c r="DY481" s="46"/>
      <c r="DZ481" s="46"/>
      <c r="EA481" s="46"/>
      <c r="EB481" s="46"/>
      <c r="EC481" s="46"/>
      <c r="ED481" s="46"/>
      <c r="EE481" s="46"/>
      <c r="EF481" s="46"/>
      <c r="EG481" s="46"/>
      <c r="EH481" s="46"/>
      <c r="EI481" s="46"/>
      <c r="EJ481" s="46"/>
      <c r="EK481" s="46"/>
      <c r="EL481" s="46"/>
      <c r="EM481" s="46"/>
      <c r="EN481" s="46"/>
      <c r="EO481" s="46"/>
      <c r="EP481" s="46"/>
      <c r="EQ481" s="46"/>
      <c r="ER481" s="46"/>
      <c r="ES481" s="46"/>
      <c r="ET481" s="46"/>
      <c r="EU481" s="46"/>
      <c r="EV481" s="46"/>
      <c r="EW481" s="46"/>
      <c r="EX481" s="46"/>
      <c r="EY481" s="46"/>
      <c r="EZ481" s="46"/>
      <c r="FA481" s="46"/>
      <c r="FB481" s="46"/>
      <c r="FC481" s="46"/>
      <c r="FD481" s="46"/>
      <c r="FE481" s="46"/>
      <c r="FF481" s="46"/>
      <c r="FG481" s="46"/>
      <c r="FH481" s="46"/>
      <c r="FI481" s="46"/>
      <c r="FJ481" s="46"/>
      <c r="FK481" s="46"/>
      <c r="FL481" s="46"/>
      <c r="FM481" s="46"/>
      <c r="FN481" s="46"/>
      <c r="FO481" s="46"/>
      <c r="FP481" s="46"/>
      <c r="FQ481" s="46"/>
      <c r="FR481" s="46"/>
      <c r="FS481" s="46"/>
      <c r="FT481" s="46"/>
      <c r="FU481" s="46"/>
      <c r="FV481" s="46"/>
      <c r="FW481" s="46"/>
      <c r="FX481" s="46"/>
      <c r="FY481" s="46"/>
      <c r="FZ481" s="46"/>
      <c r="GA481" s="46"/>
      <c r="GB481" s="46"/>
      <c r="GC481" s="46"/>
      <c r="GD481" s="46"/>
      <c r="GE481" s="46"/>
      <c r="GF481" s="46"/>
      <c r="GG481" s="46"/>
      <c r="GH481" s="46"/>
      <c r="GI481" s="46"/>
      <c r="GJ481" s="46"/>
      <c r="GK481" s="46"/>
      <c r="GL481" s="46"/>
      <c r="GM481" s="46"/>
      <c r="GN481" s="46"/>
      <c r="GO481" s="46"/>
      <c r="GP481" s="46"/>
    </row>
    <row r="482" spans="2:198" x14ac:dyDescent="0.2">
      <c r="D482" s="149"/>
      <c r="G482" s="46"/>
      <c r="H482" s="47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  <c r="CI482" s="46"/>
      <c r="CJ482" s="46"/>
      <c r="CK482" s="46"/>
      <c r="CL482" s="46"/>
      <c r="CM482" s="46"/>
      <c r="CN482" s="46"/>
      <c r="CO482" s="46"/>
      <c r="CP482" s="46"/>
      <c r="CQ482" s="46"/>
      <c r="CR482" s="46"/>
      <c r="CS482" s="46"/>
      <c r="CT482" s="46"/>
      <c r="CU482" s="46"/>
      <c r="CV482" s="46"/>
      <c r="CW482" s="46"/>
      <c r="CX482" s="46"/>
      <c r="CY482" s="46"/>
      <c r="CZ482" s="46"/>
      <c r="DA482" s="46"/>
      <c r="DB482" s="46"/>
      <c r="DC482" s="46"/>
      <c r="DD482" s="46"/>
      <c r="DE482" s="46"/>
      <c r="DF482" s="46"/>
      <c r="DG482" s="46"/>
      <c r="DH482" s="46"/>
      <c r="DI482" s="46"/>
      <c r="DJ482" s="46"/>
      <c r="DK482" s="46"/>
      <c r="DL482" s="46"/>
      <c r="DM482" s="46"/>
      <c r="DN482" s="46"/>
      <c r="DO482" s="46"/>
      <c r="DP482" s="46"/>
      <c r="DQ482" s="46"/>
      <c r="DR482" s="46"/>
      <c r="DS482" s="46"/>
      <c r="DT482" s="46"/>
      <c r="DU482" s="46"/>
      <c r="DV482" s="46"/>
      <c r="DW482" s="46"/>
      <c r="DX482" s="46"/>
      <c r="DY482" s="46"/>
      <c r="DZ482" s="46"/>
      <c r="EA482" s="46"/>
      <c r="EB482" s="46"/>
      <c r="EC482" s="46"/>
      <c r="ED482" s="46"/>
      <c r="EE482" s="46"/>
      <c r="EF482" s="46"/>
      <c r="EG482" s="46"/>
      <c r="EH482" s="46"/>
      <c r="EI482" s="46"/>
      <c r="EJ482" s="46"/>
      <c r="EK482" s="46"/>
      <c r="EL482" s="46"/>
      <c r="EM482" s="46"/>
      <c r="EN482" s="46"/>
      <c r="EO482" s="46"/>
      <c r="EP482" s="46"/>
      <c r="EQ482" s="46"/>
      <c r="ER482" s="46"/>
      <c r="ES482" s="46"/>
      <c r="ET482" s="46"/>
      <c r="EU482" s="46"/>
      <c r="EV482" s="46"/>
      <c r="EW482" s="46"/>
      <c r="EX482" s="46"/>
      <c r="EY482" s="46"/>
      <c r="EZ482" s="46"/>
      <c r="FA482" s="46"/>
      <c r="FB482" s="46"/>
      <c r="FC482" s="46"/>
      <c r="FD482" s="46"/>
      <c r="FE482" s="46"/>
      <c r="FF482" s="46"/>
      <c r="FG482" s="46"/>
      <c r="FH482" s="46"/>
      <c r="FI482" s="46"/>
      <c r="FJ482" s="46"/>
      <c r="FK482" s="46"/>
      <c r="FL482" s="46"/>
      <c r="FM482" s="46"/>
      <c r="FN482" s="46"/>
      <c r="FO482" s="46"/>
      <c r="FP482" s="46"/>
      <c r="FQ482" s="46"/>
      <c r="FR482" s="46"/>
      <c r="FS482" s="46"/>
      <c r="FT482" s="46"/>
      <c r="FU482" s="46"/>
      <c r="FV482" s="46"/>
      <c r="FW482" s="46"/>
      <c r="FX482" s="46"/>
      <c r="FY482" s="46"/>
      <c r="FZ482" s="46"/>
      <c r="GA482" s="46"/>
      <c r="GB482" s="46"/>
      <c r="GC482" s="46"/>
      <c r="GD482" s="46"/>
      <c r="GE482" s="46"/>
      <c r="GF482" s="46"/>
      <c r="GG482" s="46"/>
      <c r="GH482" s="46"/>
      <c r="GI482" s="46"/>
      <c r="GJ482" s="46"/>
      <c r="GK482" s="46"/>
      <c r="GL482" s="46"/>
      <c r="GM482" s="46"/>
      <c r="GN482" s="46"/>
      <c r="GO482" s="46"/>
      <c r="GP482" s="46"/>
    </row>
    <row r="483" spans="2:198" x14ac:dyDescent="0.2">
      <c r="G483" s="46"/>
      <c r="H483" s="47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  <c r="CI483" s="46"/>
      <c r="CJ483" s="46"/>
      <c r="CK483" s="46"/>
      <c r="CL483" s="46"/>
      <c r="CM483" s="46"/>
      <c r="CN483" s="46"/>
      <c r="CO483" s="46"/>
      <c r="CP483" s="46"/>
      <c r="CQ483" s="46"/>
      <c r="CR483" s="46"/>
      <c r="CS483" s="46"/>
      <c r="CT483" s="46"/>
      <c r="CU483" s="46"/>
      <c r="CV483" s="46"/>
      <c r="CW483" s="46"/>
      <c r="CX483" s="46"/>
      <c r="CY483" s="46"/>
      <c r="CZ483" s="46"/>
      <c r="DA483" s="46"/>
      <c r="DB483" s="46"/>
      <c r="DC483" s="46"/>
      <c r="DD483" s="46"/>
      <c r="DE483" s="46"/>
      <c r="DF483" s="46"/>
      <c r="DG483" s="46"/>
      <c r="DH483" s="46"/>
      <c r="DI483" s="46"/>
      <c r="DJ483" s="46"/>
      <c r="DK483" s="46"/>
      <c r="DL483" s="46"/>
      <c r="DM483" s="46"/>
      <c r="DN483" s="46"/>
      <c r="DO483" s="46"/>
      <c r="DP483" s="46"/>
      <c r="DQ483" s="46"/>
      <c r="DR483" s="46"/>
      <c r="DS483" s="46"/>
      <c r="DT483" s="46"/>
      <c r="DU483" s="46"/>
      <c r="DV483" s="46"/>
      <c r="DW483" s="46"/>
      <c r="DX483" s="46"/>
      <c r="DY483" s="46"/>
      <c r="DZ483" s="46"/>
      <c r="EA483" s="46"/>
      <c r="EB483" s="46"/>
      <c r="EC483" s="46"/>
      <c r="ED483" s="46"/>
      <c r="EE483" s="46"/>
      <c r="EF483" s="46"/>
      <c r="EG483" s="46"/>
      <c r="EH483" s="46"/>
      <c r="EI483" s="46"/>
      <c r="EJ483" s="46"/>
      <c r="EK483" s="46"/>
      <c r="EL483" s="46"/>
      <c r="EM483" s="46"/>
      <c r="EN483" s="46"/>
      <c r="EO483" s="46"/>
      <c r="EP483" s="46"/>
      <c r="EQ483" s="46"/>
      <c r="ER483" s="46"/>
      <c r="ES483" s="46"/>
      <c r="ET483" s="46"/>
      <c r="EU483" s="46"/>
      <c r="EV483" s="46"/>
      <c r="EW483" s="46"/>
      <c r="EX483" s="46"/>
      <c r="EY483" s="46"/>
      <c r="EZ483" s="46"/>
      <c r="FA483" s="46"/>
      <c r="FB483" s="46"/>
      <c r="FC483" s="46"/>
      <c r="FD483" s="46"/>
      <c r="FE483" s="46"/>
      <c r="FF483" s="46"/>
      <c r="FG483" s="46"/>
      <c r="FH483" s="46"/>
      <c r="FI483" s="46"/>
      <c r="FJ483" s="46"/>
      <c r="FK483" s="46"/>
      <c r="FL483" s="46"/>
      <c r="FM483" s="46"/>
      <c r="FN483" s="46"/>
      <c r="FO483" s="46"/>
      <c r="FP483" s="46"/>
      <c r="FQ483" s="46"/>
      <c r="FR483" s="46"/>
      <c r="FS483" s="46"/>
      <c r="FT483" s="46"/>
      <c r="FU483" s="46"/>
      <c r="FV483" s="46"/>
      <c r="FW483" s="46"/>
      <c r="FX483" s="46"/>
      <c r="FY483" s="46"/>
      <c r="FZ483" s="46"/>
      <c r="GA483" s="46"/>
      <c r="GB483" s="46"/>
      <c r="GC483" s="46"/>
      <c r="GD483" s="46"/>
      <c r="GE483" s="46"/>
      <c r="GF483" s="46"/>
      <c r="GG483" s="46"/>
      <c r="GH483" s="46"/>
      <c r="GI483" s="46"/>
      <c r="GJ483" s="46"/>
      <c r="GK483" s="46"/>
      <c r="GL483" s="46"/>
      <c r="GM483" s="46"/>
      <c r="GN483" s="46"/>
      <c r="GO483" s="46"/>
      <c r="GP483" s="46"/>
    </row>
    <row r="484" spans="2:198" x14ac:dyDescent="0.2">
      <c r="G484" s="46"/>
      <c r="H484" s="47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  <c r="CZ484" s="46"/>
      <c r="DA484" s="46"/>
      <c r="DB484" s="46"/>
      <c r="DC484" s="46"/>
      <c r="DD484" s="46"/>
      <c r="DE484" s="46"/>
      <c r="DF484" s="46"/>
      <c r="DG484" s="46"/>
      <c r="DH484" s="46"/>
      <c r="DI484" s="46"/>
      <c r="DJ484" s="46"/>
      <c r="DK484" s="46"/>
      <c r="DL484" s="46"/>
      <c r="DM484" s="46"/>
      <c r="DN484" s="46"/>
      <c r="DO484" s="46"/>
      <c r="DP484" s="46"/>
      <c r="DQ484" s="46"/>
      <c r="DR484" s="46"/>
      <c r="DS484" s="46"/>
      <c r="DT484" s="46"/>
      <c r="DU484" s="46"/>
      <c r="DV484" s="46"/>
      <c r="DW484" s="46"/>
      <c r="DX484" s="46"/>
      <c r="DY484" s="46"/>
      <c r="DZ484" s="46"/>
      <c r="EA484" s="46"/>
      <c r="EB484" s="46"/>
      <c r="EC484" s="46"/>
      <c r="ED484" s="46"/>
      <c r="EE484" s="46"/>
      <c r="EF484" s="46"/>
      <c r="EG484" s="46"/>
      <c r="EH484" s="46"/>
      <c r="EI484" s="46"/>
      <c r="EJ484" s="46"/>
      <c r="EK484" s="46"/>
      <c r="EL484" s="46"/>
      <c r="EM484" s="46"/>
      <c r="EN484" s="46"/>
      <c r="EO484" s="46"/>
      <c r="EP484" s="46"/>
      <c r="EQ484" s="46"/>
      <c r="ER484" s="46"/>
      <c r="ES484" s="46"/>
      <c r="ET484" s="46"/>
      <c r="EU484" s="46"/>
      <c r="EV484" s="46"/>
      <c r="EW484" s="46"/>
      <c r="EX484" s="46"/>
      <c r="EY484" s="46"/>
      <c r="EZ484" s="46"/>
      <c r="FA484" s="46"/>
      <c r="FB484" s="46"/>
      <c r="FC484" s="46"/>
      <c r="FD484" s="46"/>
      <c r="FE484" s="46"/>
      <c r="FF484" s="46"/>
      <c r="FG484" s="46"/>
      <c r="FH484" s="46"/>
      <c r="FI484" s="46"/>
      <c r="FJ484" s="46"/>
      <c r="FK484" s="46"/>
      <c r="FL484" s="46"/>
      <c r="FM484" s="46"/>
      <c r="FN484" s="46"/>
      <c r="FO484" s="46"/>
      <c r="FP484" s="46"/>
      <c r="FQ484" s="46"/>
      <c r="FR484" s="46"/>
      <c r="FS484" s="46"/>
      <c r="FT484" s="46"/>
      <c r="FU484" s="46"/>
      <c r="FV484" s="46"/>
      <c r="FW484" s="46"/>
      <c r="FX484" s="46"/>
      <c r="FY484" s="46"/>
      <c r="FZ484" s="46"/>
      <c r="GA484" s="46"/>
      <c r="GB484" s="46"/>
      <c r="GC484" s="46"/>
      <c r="GD484" s="46"/>
      <c r="GE484" s="46"/>
      <c r="GF484" s="46"/>
      <c r="GG484" s="46"/>
      <c r="GH484" s="46"/>
      <c r="GI484" s="46"/>
      <c r="GJ484" s="46"/>
      <c r="GK484" s="46"/>
      <c r="GL484" s="46"/>
      <c r="GM484" s="46"/>
      <c r="GN484" s="46"/>
      <c r="GO484" s="46"/>
      <c r="GP484" s="46"/>
    </row>
    <row r="485" spans="2:198" x14ac:dyDescent="0.2">
      <c r="G485" s="46"/>
      <c r="H485" s="47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  <c r="CZ485" s="46"/>
      <c r="DA485" s="46"/>
      <c r="DB485" s="46"/>
      <c r="DC485" s="46"/>
      <c r="DD485" s="46"/>
      <c r="DE485" s="46"/>
      <c r="DF485" s="46"/>
      <c r="DG485" s="46"/>
      <c r="DH485" s="46"/>
      <c r="DI485" s="46"/>
      <c r="DJ485" s="46"/>
      <c r="DK485" s="46"/>
      <c r="DL485" s="46"/>
      <c r="DM485" s="46"/>
      <c r="DN485" s="46"/>
      <c r="DO485" s="46"/>
      <c r="DP485" s="46"/>
      <c r="DQ485" s="46"/>
      <c r="DR485" s="46"/>
      <c r="DS485" s="46"/>
      <c r="DT485" s="46"/>
      <c r="DU485" s="46"/>
      <c r="DV485" s="46"/>
      <c r="DW485" s="46"/>
      <c r="DX485" s="46"/>
      <c r="DY485" s="46"/>
      <c r="DZ485" s="46"/>
      <c r="EA485" s="46"/>
      <c r="EB485" s="46"/>
      <c r="EC485" s="46"/>
      <c r="ED485" s="46"/>
      <c r="EE485" s="46"/>
      <c r="EF485" s="46"/>
      <c r="EG485" s="46"/>
      <c r="EH485" s="46"/>
      <c r="EI485" s="46"/>
      <c r="EJ485" s="46"/>
      <c r="EK485" s="46"/>
      <c r="EL485" s="46"/>
      <c r="EM485" s="46"/>
      <c r="EN485" s="46"/>
      <c r="EO485" s="46"/>
      <c r="EP485" s="46"/>
      <c r="EQ485" s="46"/>
      <c r="ER485" s="46"/>
      <c r="ES485" s="46"/>
      <c r="ET485" s="46"/>
      <c r="EU485" s="46"/>
      <c r="EV485" s="46"/>
      <c r="EW485" s="46"/>
      <c r="EX485" s="46"/>
      <c r="EY485" s="46"/>
      <c r="EZ485" s="46"/>
      <c r="FA485" s="46"/>
      <c r="FB485" s="46"/>
      <c r="FC485" s="46"/>
      <c r="FD485" s="46"/>
      <c r="FE485" s="46"/>
      <c r="FF485" s="46"/>
      <c r="FG485" s="46"/>
      <c r="FH485" s="46"/>
      <c r="FI485" s="46"/>
      <c r="FJ485" s="46"/>
      <c r="FK485" s="46"/>
      <c r="FL485" s="46"/>
      <c r="FM485" s="46"/>
      <c r="FN485" s="46"/>
      <c r="FO485" s="46"/>
      <c r="FP485" s="46"/>
      <c r="FQ485" s="46"/>
      <c r="FR485" s="46"/>
      <c r="FS485" s="46"/>
      <c r="FT485" s="46"/>
      <c r="FU485" s="46"/>
      <c r="FV485" s="46"/>
      <c r="FW485" s="46"/>
      <c r="FX485" s="46"/>
      <c r="FY485" s="46"/>
      <c r="FZ485" s="46"/>
      <c r="GA485" s="46"/>
      <c r="GB485" s="46"/>
      <c r="GC485" s="46"/>
      <c r="GD485" s="46"/>
      <c r="GE485" s="46"/>
      <c r="GF485" s="46"/>
      <c r="GG485" s="46"/>
      <c r="GH485" s="46"/>
      <c r="GI485" s="46"/>
      <c r="GJ485" s="46"/>
      <c r="GK485" s="46"/>
      <c r="GL485" s="46"/>
      <c r="GM485" s="46"/>
      <c r="GN485" s="46"/>
      <c r="GO485" s="46"/>
      <c r="GP485" s="46"/>
    </row>
    <row r="486" spans="2:198" x14ac:dyDescent="0.2">
      <c r="G486" s="46"/>
      <c r="H486" s="47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  <c r="CZ486" s="46"/>
      <c r="DA486" s="46"/>
      <c r="DB486" s="46"/>
      <c r="DC486" s="46"/>
      <c r="DD486" s="46"/>
      <c r="DE486" s="46"/>
      <c r="DF486" s="46"/>
      <c r="DG486" s="46"/>
      <c r="DH486" s="46"/>
      <c r="DI486" s="46"/>
      <c r="DJ486" s="46"/>
      <c r="DK486" s="46"/>
      <c r="DL486" s="46"/>
      <c r="DM486" s="46"/>
      <c r="DN486" s="46"/>
      <c r="DO486" s="46"/>
      <c r="DP486" s="46"/>
      <c r="DQ486" s="46"/>
      <c r="DR486" s="46"/>
      <c r="DS486" s="46"/>
      <c r="DT486" s="46"/>
      <c r="DU486" s="46"/>
      <c r="DV486" s="46"/>
      <c r="DW486" s="46"/>
      <c r="DX486" s="46"/>
      <c r="DY486" s="46"/>
      <c r="DZ486" s="46"/>
      <c r="EA486" s="46"/>
      <c r="EB486" s="46"/>
      <c r="EC486" s="46"/>
      <c r="ED486" s="46"/>
      <c r="EE486" s="46"/>
      <c r="EF486" s="46"/>
      <c r="EG486" s="46"/>
      <c r="EH486" s="46"/>
      <c r="EI486" s="46"/>
      <c r="EJ486" s="46"/>
      <c r="EK486" s="46"/>
      <c r="EL486" s="46"/>
      <c r="EM486" s="46"/>
      <c r="EN486" s="46"/>
      <c r="EO486" s="46"/>
      <c r="EP486" s="46"/>
      <c r="EQ486" s="46"/>
      <c r="ER486" s="46"/>
      <c r="ES486" s="46"/>
      <c r="ET486" s="46"/>
      <c r="EU486" s="46"/>
      <c r="EV486" s="46"/>
      <c r="EW486" s="46"/>
      <c r="EX486" s="46"/>
      <c r="EY486" s="46"/>
      <c r="EZ486" s="46"/>
      <c r="FA486" s="46"/>
      <c r="FB486" s="46"/>
      <c r="FC486" s="46"/>
      <c r="FD486" s="46"/>
      <c r="FE486" s="46"/>
      <c r="FF486" s="46"/>
      <c r="FG486" s="46"/>
      <c r="FH486" s="46"/>
      <c r="FI486" s="46"/>
      <c r="FJ486" s="46"/>
      <c r="FK486" s="46"/>
      <c r="FL486" s="46"/>
      <c r="FM486" s="46"/>
      <c r="FN486" s="46"/>
      <c r="FO486" s="46"/>
      <c r="FP486" s="46"/>
      <c r="FQ486" s="46"/>
      <c r="FR486" s="46"/>
      <c r="FS486" s="46"/>
      <c r="FT486" s="46"/>
      <c r="FU486" s="46"/>
      <c r="FV486" s="46"/>
      <c r="FW486" s="46"/>
      <c r="FX486" s="46"/>
      <c r="FY486" s="46"/>
      <c r="FZ486" s="46"/>
      <c r="GA486" s="46"/>
      <c r="GB486" s="46"/>
      <c r="GC486" s="46"/>
      <c r="GD486" s="46"/>
      <c r="GE486" s="46"/>
      <c r="GF486" s="46"/>
      <c r="GG486" s="46"/>
      <c r="GH486" s="46"/>
      <c r="GI486" s="46"/>
      <c r="GJ486" s="46"/>
      <c r="GK486" s="46"/>
      <c r="GL486" s="46"/>
      <c r="GM486" s="46"/>
      <c r="GN486" s="46"/>
      <c r="GO486" s="46"/>
      <c r="GP486" s="46"/>
    </row>
    <row r="487" spans="2:198" x14ac:dyDescent="0.2">
      <c r="G487" s="46"/>
      <c r="H487" s="47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  <c r="CI487" s="46"/>
      <c r="CJ487" s="46"/>
      <c r="CK487" s="46"/>
      <c r="CL487" s="46"/>
      <c r="CM487" s="46"/>
      <c r="CN487" s="46"/>
      <c r="CO487" s="46"/>
      <c r="CP487" s="46"/>
      <c r="CQ487" s="46"/>
      <c r="CR487" s="46"/>
      <c r="CS487" s="46"/>
      <c r="CT487" s="46"/>
      <c r="CU487" s="46"/>
      <c r="CV487" s="46"/>
      <c r="CW487" s="46"/>
      <c r="CX487" s="46"/>
      <c r="CY487" s="46"/>
      <c r="CZ487" s="46"/>
      <c r="DA487" s="46"/>
      <c r="DB487" s="46"/>
      <c r="DC487" s="46"/>
      <c r="DD487" s="46"/>
      <c r="DE487" s="46"/>
      <c r="DF487" s="46"/>
      <c r="DG487" s="46"/>
      <c r="DH487" s="46"/>
      <c r="DI487" s="46"/>
      <c r="DJ487" s="46"/>
      <c r="DK487" s="46"/>
      <c r="DL487" s="46"/>
      <c r="DM487" s="46"/>
      <c r="DN487" s="46"/>
      <c r="DO487" s="46"/>
      <c r="DP487" s="46"/>
      <c r="DQ487" s="46"/>
      <c r="DR487" s="46"/>
      <c r="DS487" s="46"/>
      <c r="DT487" s="46"/>
      <c r="DU487" s="46"/>
      <c r="DV487" s="46"/>
      <c r="DW487" s="46"/>
      <c r="DX487" s="46"/>
      <c r="DY487" s="46"/>
      <c r="DZ487" s="46"/>
      <c r="EA487" s="46"/>
      <c r="EB487" s="46"/>
      <c r="EC487" s="46"/>
      <c r="ED487" s="46"/>
      <c r="EE487" s="46"/>
      <c r="EF487" s="46"/>
      <c r="EG487" s="46"/>
      <c r="EH487" s="46"/>
      <c r="EI487" s="46"/>
      <c r="EJ487" s="46"/>
      <c r="EK487" s="46"/>
      <c r="EL487" s="46"/>
      <c r="EM487" s="46"/>
      <c r="EN487" s="46"/>
      <c r="EO487" s="46"/>
      <c r="EP487" s="46"/>
      <c r="EQ487" s="46"/>
      <c r="ER487" s="46"/>
      <c r="ES487" s="46"/>
      <c r="ET487" s="46"/>
      <c r="EU487" s="46"/>
      <c r="EV487" s="46"/>
      <c r="EW487" s="46"/>
      <c r="EX487" s="46"/>
      <c r="EY487" s="46"/>
      <c r="EZ487" s="46"/>
      <c r="FA487" s="46"/>
      <c r="FB487" s="46"/>
      <c r="FC487" s="46"/>
      <c r="FD487" s="46"/>
      <c r="FE487" s="46"/>
      <c r="FF487" s="46"/>
      <c r="FG487" s="46"/>
      <c r="FH487" s="46"/>
      <c r="FI487" s="46"/>
      <c r="FJ487" s="46"/>
      <c r="FK487" s="46"/>
      <c r="FL487" s="46"/>
      <c r="FM487" s="46"/>
      <c r="FN487" s="46"/>
      <c r="FO487" s="46"/>
      <c r="FP487" s="46"/>
      <c r="FQ487" s="46"/>
      <c r="FR487" s="46"/>
      <c r="FS487" s="46"/>
      <c r="FT487" s="46"/>
      <c r="FU487" s="46"/>
      <c r="FV487" s="46"/>
      <c r="FW487" s="46"/>
      <c r="FX487" s="46"/>
      <c r="FY487" s="46"/>
      <c r="FZ487" s="46"/>
      <c r="GA487" s="46"/>
      <c r="GB487" s="46"/>
      <c r="GC487" s="46"/>
      <c r="GD487" s="46"/>
      <c r="GE487" s="46"/>
      <c r="GF487" s="46"/>
      <c r="GG487" s="46"/>
      <c r="GH487" s="46"/>
      <c r="GI487" s="46"/>
      <c r="GJ487" s="46"/>
      <c r="GK487" s="46"/>
      <c r="GL487" s="46"/>
      <c r="GM487" s="46"/>
      <c r="GN487" s="46"/>
      <c r="GO487" s="46"/>
      <c r="GP487" s="46"/>
    </row>
    <row r="488" spans="2:198" x14ac:dyDescent="0.2">
      <c r="G488" s="46"/>
      <c r="H488" s="47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46"/>
      <c r="DP488" s="46"/>
      <c r="DQ488" s="46"/>
      <c r="DR488" s="46"/>
      <c r="DS488" s="46"/>
      <c r="DT488" s="46"/>
      <c r="DU488" s="46"/>
      <c r="DV488" s="46"/>
      <c r="DW488" s="46"/>
      <c r="DX488" s="46"/>
      <c r="DY488" s="46"/>
      <c r="DZ488" s="46"/>
      <c r="EA488" s="46"/>
      <c r="EB488" s="46"/>
      <c r="EC488" s="46"/>
      <c r="ED488" s="46"/>
      <c r="EE488" s="46"/>
      <c r="EF488" s="46"/>
      <c r="EG488" s="46"/>
      <c r="EH488" s="46"/>
      <c r="EI488" s="46"/>
      <c r="EJ488" s="46"/>
      <c r="EK488" s="46"/>
      <c r="EL488" s="46"/>
      <c r="EM488" s="46"/>
      <c r="EN488" s="46"/>
      <c r="EO488" s="46"/>
      <c r="EP488" s="46"/>
      <c r="EQ488" s="46"/>
      <c r="ER488" s="46"/>
      <c r="ES488" s="46"/>
      <c r="ET488" s="46"/>
      <c r="EU488" s="46"/>
      <c r="EV488" s="46"/>
      <c r="EW488" s="46"/>
      <c r="EX488" s="46"/>
      <c r="EY488" s="46"/>
      <c r="EZ488" s="46"/>
      <c r="FA488" s="46"/>
      <c r="FB488" s="46"/>
      <c r="FC488" s="46"/>
      <c r="FD488" s="46"/>
      <c r="FE488" s="46"/>
      <c r="FF488" s="46"/>
      <c r="FG488" s="46"/>
      <c r="FH488" s="46"/>
      <c r="FI488" s="46"/>
      <c r="FJ488" s="46"/>
      <c r="FK488" s="46"/>
      <c r="FL488" s="46"/>
      <c r="FM488" s="46"/>
      <c r="FN488" s="46"/>
      <c r="FO488" s="46"/>
      <c r="FP488" s="46"/>
      <c r="FQ488" s="46"/>
      <c r="FR488" s="46"/>
      <c r="FS488" s="46"/>
      <c r="FT488" s="46"/>
      <c r="FU488" s="46"/>
      <c r="FV488" s="46"/>
      <c r="FW488" s="46"/>
      <c r="FX488" s="46"/>
      <c r="FY488" s="46"/>
      <c r="FZ488" s="46"/>
      <c r="GA488" s="46"/>
      <c r="GB488" s="46"/>
      <c r="GC488" s="46"/>
      <c r="GD488" s="46"/>
      <c r="GE488" s="46"/>
      <c r="GF488" s="46"/>
      <c r="GG488" s="46"/>
      <c r="GH488" s="46"/>
      <c r="GI488" s="46"/>
      <c r="GJ488" s="46"/>
      <c r="GK488" s="46"/>
      <c r="GL488" s="46"/>
      <c r="GM488" s="46"/>
      <c r="GN488" s="46"/>
      <c r="GO488" s="46"/>
      <c r="GP488" s="46"/>
    </row>
    <row r="489" spans="2:198" x14ac:dyDescent="0.2">
      <c r="G489" s="46"/>
      <c r="H489" s="47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  <c r="CZ489" s="46"/>
      <c r="DA489" s="46"/>
      <c r="DB489" s="46"/>
      <c r="DC489" s="46"/>
      <c r="DD489" s="46"/>
      <c r="DE489" s="46"/>
      <c r="DF489" s="46"/>
      <c r="DG489" s="46"/>
      <c r="DH489" s="46"/>
      <c r="DI489" s="46"/>
      <c r="DJ489" s="46"/>
      <c r="DK489" s="46"/>
      <c r="DL489" s="46"/>
      <c r="DM489" s="46"/>
      <c r="DN489" s="46"/>
      <c r="DO489" s="46"/>
      <c r="DP489" s="46"/>
      <c r="DQ489" s="46"/>
      <c r="DR489" s="46"/>
      <c r="DS489" s="46"/>
      <c r="DT489" s="46"/>
      <c r="DU489" s="46"/>
      <c r="DV489" s="46"/>
      <c r="DW489" s="46"/>
      <c r="DX489" s="46"/>
      <c r="DY489" s="46"/>
      <c r="DZ489" s="46"/>
      <c r="EA489" s="46"/>
      <c r="EB489" s="46"/>
      <c r="EC489" s="46"/>
      <c r="ED489" s="46"/>
      <c r="EE489" s="46"/>
      <c r="EF489" s="46"/>
      <c r="EG489" s="46"/>
      <c r="EH489" s="46"/>
      <c r="EI489" s="46"/>
      <c r="EJ489" s="46"/>
      <c r="EK489" s="46"/>
      <c r="EL489" s="46"/>
      <c r="EM489" s="46"/>
      <c r="EN489" s="46"/>
      <c r="EO489" s="46"/>
      <c r="EP489" s="46"/>
      <c r="EQ489" s="46"/>
      <c r="ER489" s="46"/>
      <c r="ES489" s="46"/>
      <c r="ET489" s="46"/>
      <c r="EU489" s="46"/>
      <c r="EV489" s="46"/>
      <c r="EW489" s="46"/>
      <c r="EX489" s="46"/>
      <c r="EY489" s="46"/>
      <c r="EZ489" s="46"/>
      <c r="FA489" s="46"/>
      <c r="FB489" s="46"/>
      <c r="FC489" s="46"/>
      <c r="FD489" s="46"/>
      <c r="FE489" s="46"/>
      <c r="FF489" s="46"/>
      <c r="FG489" s="46"/>
      <c r="FH489" s="46"/>
      <c r="FI489" s="46"/>
      <c r="FJ489" s="46"/>
      <c r="FK489" s="46"/>
      <c r="FL489" s="46"/>
      <c r="FM489" s="46"/>
      <c r="FN489" s="46"/>
      <c r="FO489" s="46"/>
      <c r="FP489" s="46"/>
      <c r="FQ489" s="46"/>
      <c r="FR489" s="46"/>
      <c r="FS489" s="46"/>
      <c r="FT489" s="46"/>
      <c r="FU489" s="46"/>
      <c r="FV489" s="46"/>
      <c r="FW489" s="46"/>
      <c r="FX489" s="46"/>
      <c r="FY489" s="46"/>
      <c r="FZ489" s="46"/>
      <c r="GA489" s="46"/>
      <c r="GB489" s="46"/>
      <c r="GC489" s="46"/>
      <c r="GD489" s="46"/>
      <c r="GE489" s="46"/>
      <c r="GF489" s="46"/>
      <c r="GG489" s="46"/>
      <c r="GH489" s="46"/>
      <c r="GI489" s="46"/>
      <c r="GJ489" s="46"/>
      <c r="GK489" s="46"/>
      <c r="GL489" s="46"/>
      <c r="GM489" s="46"/>
      <c r="GN489" s="46"/>
      <c r="GO489" s="46"/>
      <c r="GP489" s="46"/>
    </row>
    <row r="490" spans="2:198" x14ac:dyDescent="0.2">
      <c r="G490" s="46"/>
      <c r="H490" s="47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  <c r="CI490" s="46"/>
      <c r="CJ490" s="46"/>
      <c r="CK490" s="46"/>
      <c r="CL490" s="46"/>
      <c r="CM490" s="46"/>
      <c r="CN490" s="46"/>
      <c r="CO490" s="46"/>
      <c r="CP490" s="46"/>
      <c r="CQ490" s="46"/>
      <c r="CR490" s="46"/>
      <c r="CS490" s="46"/>
      <c r="CT490" s="46"/>
      <c r="CU490" s="46"/>
      <c r="CV490" s="46"/>
      <c r="CW490" s="46"/>
      <c r="CX490" s="46"/>
      <c r="CY490" s="46"/>
      <c r="CZ490" s="46"/>
      <c r="DA490" s="46"/>
      <c r="DB490" s="46"/>
      <c r="DC490" s="46"/>
      <c r="DD490" s="46"/>
      <c r="DE490" s="46"/>
      <c r="DF490" s="46"/>
      <c r="DG490" s="46"/>
      <c r="DH490" s="46"/>
      <c r="DI490" s="46"/>
      <c r="DJ490" s="46"/>
      <c r="DK490" s="46"/>
      <c r="DL490" s="46"/>
      <c r="DM490" s="46"/>
      <c r="DN490" s="46"/>
      <c r="DO490" s="46"/>
      <c r="DP490" s="46"/>
      <c r="DQ490" s="46"/>
      <c r="DR490" s="46"/>
      <c r="DS490" s="46"/>
      <c r="DT490" s="46"/>
      <c r="DU490" s="46"/>
      <c r="DV490" s="46"/>
      <c r="DW490" s="46"/>
      <c r="DX490" s="46"/>
      <c r="DY490" s="46"/>
      <c r="DZ490" s="46"/>
      <c r="EA490" s="46"/>
      <c r="EB490" s="46"/>
      <c r="EC490" s="46"/>
      <c r="ED490" s="46"/>
      <c r="EE490" s="46"/>
      <c r="EF490" s="46"/>
      <c r="EG490" s="46"/>
      <c r="EH490" s="46"/>
      <c r="EI490" s="46"/>
      <c r="EJ490" s="46"/>
      <c r="EK490" s="46"/>
      <c r="EL490" s="46"/>
      <c r="EM490" s="46"/>
      <c r="EN490" s="46"/>
      <c r="EO490" s="46"/>
      <c r="EP490" s="46"/>
      <c r="EQ490" s="46"/>
      <c r="ER490" s="46"/>
      <c r="ES490" s="46"/>
      <c r="ET490" s="46"/>
      <c r="EU490" s="46"/>
      <c r="EV490" s="46"/>
      <c r="EW490" s="46"/>
      <c r="EX490" s="46"/>
      <c r="EY490" s="46"/>
      <c r="EZ490" s="46"/>
      <c r="FA490" s="46"/>
      <c r="FB490" s="46"/>
      <c r="FC490" s="46"/>
      <c r="FD490" s="46"/>
      <c r="FE490" s="46"/>
      <c r="FF490" s="46"/>
      <c r="FG490" s="46"/>
      <c r="FH490" s="46"/>
      <c r="FI490" s="46"/>
      <c r="FJ490" s="46"/>
      <c r="FK490" s="46"/>
      <c r="FL490" s="46"/>
      <c r="FM490" s="46"/>
      <c r="FN490" s="46"/>
      <c r="FO490" s="46"/>
      <c r="FP490" s="46"/>
      <c r="FQ490" s="46"/>
      <c r="FR490" s="46"/>
      <c r="FS490" s="46"/>
      <c r="FT490" s="46"/>
      <c r="FU490" s="46"/>
      <c r="FV490" s="46"/>
      <c r="FW490" s="46"/>
      <c r="FX490" s="46"/>
      <c r="FY490" s="46"/>
      <c r="FZ490" s="46"/>
      <c r="GA490" s="46"/>
      <c r="GB490" s="46"/>
      <c r="GC490" s="46"/>
      <c r="GD490" s="46"/>
      <c r="GE490" s="46"/>
      <c r="GF490" s="46"/>
      <c r="GG490" s="46"/>
      <c r="GH490" s="46"/>
      <c r="GI490" s="46"/>
      <c r="GJ490" s="46"/>
      <c r="GK490" s="46"/>
      <c r="GL490" s="46"/>
      <c r="GM490" s="46"/>
      <c r="GN490" s="46"/>
      <c r="GO490" s="46"/>
      <c r="GP490" s="46"/>
    </row>
    <row r="491" spans="2:198" x14ac:dyDescent="0.2">
      <c r="G491" s="46"/>
      <c r="H491" s="47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  <c r="CI491" s="46"/>
      <c r="CJ491" s="46"/>
      <c r="CK491" s="46"/>
      <c r="CL491" s="46"/>
      <c r="CM491" s="46"/>
      <c r="CN491" s="46"/>
      <c r="CO491" s="46"/>
      <c r="CP491" s="46"/>
      <c r="CQ491" s="46"/>
      <c r="CR491" s="46"/>
      <c r="CS491" s="46"/>
      <c r="CT491" s="46"/>
      <c r="CU491" s="46"/>
      <c r="CV491" s="46"/>
      <c r="CW491" s="46"/>
      <c r="CX491" s="46"/>
      <c r="CY491" s="46"/>
      <c r="CZ491" s="46"/>
      <c r="DA491" s="46"/>
      <c r="DB491" s="46"/>
      <c r="DC491" s="46"/>
      <c r="DD491" s="46"/>
      <c r="DE491" s="46"/>
      <c r="DF491" s="46"/>
      <c r="DG491" s="46"/>
      <c r="DH491" s="46"/>
      <c r="DI491" s="46"/>
      <c r="DJ491" s="46"/>
      <c r="DK491" s="46"/>
      <c r="DL491" s="46"/>
      <c r="DM491" s="46"/>
      <c r="DN491" s="46"/>
      <c r="DO491" s="46"/>
      <c r="DP491" s="46"/>
      <c r="DQ491" s="46"/>
      <c r="DR491" s="46"/>
      <c r="DS491" s="46"/>
      <c r="DT491" s="46"/>
      <c r="DU491" s="46"/>
      <c r="DV491" s="46"/>
      <c r="DW491" s="46"/>
      <c r="DX491" s="46"/>
      <c r="DY491" s="46"/>
      <c r="DZ491" s="46"/>
      <c r="EA491" s="46"/>
      <c r="EB491" s="46"/>
      <c r="EC491" s="46"/>
      <c r="ED491" s="46"/>
      <c r="EE491" s="46"/>
      <c r="EF491" s="46"/>
      <c r="EG491" s="46"/>
      <c r="EH491" s="46"/>
      <c r="EI491" s="46"/>
      <c r="EJ491" s="46"/>
      <c r="EK491" s="46"/>
      <c r="EL491" s="46"/>
      <c r="EM491" s="46"/>
      <c r="EN491" s="46"/>
      <c r="EO491" s="46"/>
      <c r="EP491" s="46"/>
      <c r="EQ491" s="46"/>
      <c r="ER491" s="46"/>
      <c r="ES491" s="46"/>
      <c r="ET491" s="46"/>
      <c r="EU491" s="46"/>
      <c r="EV491" s="46"/>
      <c r="EW491" s="46"/>
      <c r="EX491" s="46"/>
      <c r="EY491" s="46"/>
      <c r="EZ491" s="46"/>
      <c r="FA491" s="46"/>
      <c r="FB491" s="46"/>
      <c r="FC491" s="46"/>
      <c r="FD491" s="46"/>
      <c r="FE491" s="46"/>
      <c r="FF491" s="46"/>
      <c r="FG491" s="46"/>
      <c r="FH491" s="46"/>
      <c r="FI491" s="46"/>
      <c r="FJ491" s="46"/>
      <c r="FK491" s="46"/>
      <c r="FL491" s="46"/>
      <c r="FM491" s="46"/>
      <c r="FN491" s="46"/>
      <c r="FO491" s="46"/>
      <c r="FP491" s="46"/>
      <c r="FQ491" s="46"/>
      <c r="FR491" s="46"/>
      <c r="FS491" s="46"/>
      <c r="FT491" s="46"/>
      <c r="FU491" s="46"/>
      <c r="FV491" s="46"/>
      <c r="FW491" s="46"/>
      <c r="FX491" s="46"/>
      <c r="FY491" s="46"/>
      <c r="FZ491" s="46"/>
      <c r="GA491" s="46"/>
      <c r="GB491" s="46"/>
      <c r="GC491" s="46"/>
      <c r="GD491" s="46"/>
      <c r="GE491" s="46"/>
      <c r="GF491" s="46"/>
      <c r="GG491" s="46"/>
      <c r="GH491" s="46"/>
      <c r="GI491" s="46"/>
      <c r="GJ491" s="46"/>
      <c r="GK491" s="46"/>
      <c r="GL491" s="46"/>
      <c r="GM491" s="46"/>
      <c r="GN491" s="46"/>
      <c r="GO491" s="46"/>
      <c r="GP491" s="46"/>
    </row>
    <row r="492" spans="2:198" x14ac:dyDescent="0.2">
      <c r="G492" s="46"/>
      <c r="H492" s="47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  <c r="CU492" s="46"/>
      <c r="CV492" s="46"/>
      <c r="CW492" s="46"/>
      <c r="CX492" s="46"/>
      <c r="CY492" s="46"/>
      <c r="CZ492" s="46"/>
      <c r="DA492" s="46"/>
      <c r="DB492" s="46"/>
      <c r="DC492" s="46"/>
      <c r="DD492" s="46"/>
      <c r="DE492" s="46"/>
      <c r="DF492" s="46"/>
      <c r="DG492" s="46"/>
      <c r="DH492" s="46"/>
      <c r="DI492" s="46"/>
      <c r="DJ492" s="46"/>
      <c r="DK492" s="46"/>
      <c r="DL492" s="46"/>
      <c r="DM492" s="46"/>
      <c r="DN492" s="46"/>
      <c r="DO492" s="46"/>
      <c r="DP492" s="46"/>
      <c r="DQ492" s="46"/>
      <c r="DR492" s="46"/>
      <c r="DS492" s="46"/>
      <c r="DT492" s="46"/>
      <c r="DU492" s="46"/>
      <c r="DV492" s="46"/>
      <c r="DW492" s="46"/>
      <c r="DX492" s="46"/>
      <c r="DY492" s="46"/>
      <c r="DZ492" s="46"/>
      <c r="EA492" s="46"/>
      <c r="EB492" s="46"/>
      <c r="EC492" s="46"/>
      <c r="ED492" s="46"/>
      <c r="EE492" s="46"/>
      <c r="EF492" s="46"/>
      <c r="EG492" s="46"/>
      <c r="EH492" s="46"/>
      <c r="EI492" s="46"/>
      <c r="EJ492" s="46"/>
      <c r="EK492" s="46"/>
      <c r="EL492" s="46"/>
      <c r="EM492" s="46"/>
      <c r="EN492" s="46"/>
      <c r="EO492" s="46"/>
      <c r="EP492" s="46"/>
      <c r="EQ492" s="46"/>
      <c r="ER492" s="46"/>
      <c r="ES492" s="46"/>
      <c r="ET492" s="46"/>
      <c r="EU492" s="46"/>
      <c r="EV492" s="46"/>
      <c r="EW492" s="46"/>
      <c r="EX492" s="46"/>
      <c r="EY492" s="46"/>
      <c r="EZ492" s="46"/>
      <c r="FA492" s="46"/>
      <c r="FB492" s="46"/>
      <c r="FC492" s="46"/>
      <c r="FD492" s="46"/>
      <c r="FE492" s="46"/>
      <c r="FF492" s="46"/>
      <c r="FG492" s="46"/>
      <c r="FH492" s="46"/>
      <c r="FI492" s="46"/>
      <c r="FJ492" s="46"/>
      <c r="FK492" s="46"/>
      <c r="FL492" s="46"/>
      <c r="FM492" s="46"/>
      <c r="FN492" s="46"/>
      <c r="FO492" s="46"/>
      <c r="FP492" s="46"/>
      <c r="FQ492" s="46"/>
      <c r="FR492" s="46"/>
      <c r="FS492" s="46"/>
      <c r="FT492" s="46"/>
      <c r="FU492" s="46"/>
      <c r="FV492" s="46"/>
      <c r="FW492" s="46"/>
      <c r="FX492" s="46"/>
      <c r="FY492" s="46"/>
      <c r="FZ492" s="46"/>
      <c r="GA492" s="46"/>
      <c r="GB492" s="46"/>
      <c r="GC492" s="46"/>
      <c r="GD492" s="46"/>
      <c r="GE492" s="46"/>
      <c r="GF492" s="46"/>
      <c r="GG492" s="46"/>
      <c r="GH492" s="46"/>
      <c r="GI492" s="46"/>
      <c r="GJ492" s="46"/>
      <c r="GK492" s="46"/>
      <c r="GL492" s="46"/>
      <c r="GM492" s="46"/>
      <c r="GN492" s="46"/>
      <c r="GO492" s="46"/>
      <c r="GP492" s="46"/>
    </row>
    <row r="493" spans="2:198" x14ac:dyDescent="0.2">
      <c r="G493" s="168"/>
      <c r="H493" s="47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  <c r="CZ493" s="46"/>
      <c r="DA493" s="46"/>
      <c r="DB493" s="46"/>
      <c r="DC493" s="46"/>
      <c r="DD493" s="46"/>
      <c r="DE493" s="46"/>
      <c r="DF493" s="46"/>
      <c r="DG493" s="46"/>
      <c r="DH493" s="46"/>
      <c r="DI493" s="46"/>
      <c r="DJ493" s="46"/>
      <c r="DK493" s="46"/>
      <c r="DL493" s="46"/>
      <c r="DM493" s="46"/>
      <c r="DN493" s="46"/>
      <c r="DO493" s="46"/>
      <c r="DP493" s="46"/>
      <c r="DQ493" s="46"/>
      <c r="DR493" s="46"/>
      <c r="DS493" s="46"/>
      <c r="DT493" s="46"/>
      <c r="DU493" s="46"/>
      <c r="DV493" s="46"/>
      <c r="DW493" s="46"/>
      <c r="DX493" s="46"/>
      <c r="DY493" s="46"/>
      <c r="DZ493" s="46"/>
      <c r="EA493" s="46"/>
      <c r="EB493" s="46"/>
      <c r="EC493" s="46"/>
      <c r="ED493" s="46"/>
      <c r="EE493" s="46"/>
      <c r="EF493" s="46"/>
      <c r="EG493" s="46"/>
      <c r="EH493" s="46"/>
      <c r="EI493" s="46"/>
      <c r="EJ493" s="46"/>
      <c r="EK493" s="46"/>
      <c r="EL493" s="46"/>
      <c r="EM493" s="46"/>
      <c r="EN493" s="46"/>
      <c r="EO493" s="46"/>
      <c r="EP493" s="46"/>
      <c r="EQ493" s="46"/>
      <c r="ER493" s="46"/>
      <c r="ES493" s="46"/>
      <c r="ET493" s="46"/>
      <c r="EU493" s="46"/>
      <c r="EV493" s="46"/>
      <c r="EW493" s="46"/>
      <c r="EX493" s="46"/>
      <c r="EY493" s="46"/>
      <c r="EZ493" s="46"/>
      <c r="FA493" s="46"/>
      <c r="FB493" s="46"/>
      <c r="FC493" s="46"/>
      <c r="FD493" s="46"/>
      <c r="FE493" s="46"/>
      <c r="FF493" s="46"/>
      <c r="FG493" s="46"/>
      <c r="FH493" s="46"/>
      <c r="FI493" s="46"/>
      <c r="FJ493" s="46"/>
      <c r="FK493" s="46"/>
      <c r="FL493" s="46"/>
      <c r="FM493" s="46"/>
      <c r="FN493" s="46"/>
      <c r="FO493" s="46"/>
      <c r="FP493" s="46"/>
      <c r="FQ493" s="46"/>
      <c r="FR493" s="46"/>
      <c r="FS493" s="46"/>
      <c r="FT493" s="46"/>
      <c r="FU493" s="46"/>
      <c r="FV493" s="46"/>
      <c r="FW493" s="46"/>
      <c r="FX493" s="46"/>
      <c r="FY493" s="46"/>
      <c r="FZ493" s="46"/>
      <c r="GA493" s="46"/>
      <c r="GB493" s="46"/>
      <c r="GC493" s="46"/>
      <c r="GD493" s="46"/>
      <c r="GE493" s="46"/>
      <c r="GF493" s="46"/>
      <c r="GG493" s="46"/>
      <c r="GH493" s="46"/>
      <c r="GI493" s="46"/>
      <c r="GJ493" s="46"/>
      <c r="GK493" s="46"/>
      <c r="GL493" s="46"/>
      <c r="GM493" s="46"/>
      <c r="GN493" s="46"/>
      <c r="GO493" s="46"/>
      <c r="GP493" s="46"/>
    </row>
    <row r="494" spans="2:198" x14ac:dyDescent="0.2">
      <c r="G494" s="168"/>
      <c r="H494" s="47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  <c r="CI494" s="46"/>
      <c r="CJ494" s="46"/>
      <c r="CK494" s="46"/>
      <c r="CL494" s="46"/>
      <c r="CM494" s="46"/>
      <c r="CN494" s="46"/>
      <c r="CO494" s="46"/>
      <c r="CP494" s="46"/>
      <c r="CQ494" s="46"/>
      <c r="CR494" s="46"/>
      <c r="CS494" s="46"/>
      <c r="CT494" s="46"/>
      <c r="CU494" s="46"/>
      <c r="CV494" s="46"/>
      <c r="CW494" s="46"/>
      <c r="CX494" s="46"/>
      <c r="CY494" s="46"/>
      <c r="CZ494" s="46"/>
      <c r="DA494" s="46"/>
      <c r="DB494" s="46"/>
      <c r="DC494" s="46"/>
      <c r="DD494" s="46"/>
      <c r="DE494" s="46"/>
      <c r="DF494" s="46"/>
      <c r="DG494" s="46"/>
      <c r="DH494" s="46"/>
      <c r="DI494" s="46"/>
      <c r="DJ494" s="46"/>
      <c r="DK494" s="46"/>
      <c r="DL494" s="46"/>
      <c r="DM494" s="46"/>
      <c r="DN494" s="46"/>
      <c r="DO494" s="46"/>
      <c r="DP494" s="46"/>
      <c r="DQ494" s="46"/>
      <c r="DR494" s="46"/>
      <c r="DS494" s="46"/>
      <c r="DT494" s="46"/>
      <c r="DU494" s="46"/>
      <c r="DV494" s="46"/>
      <c r="DW494" s="46"/>
      <c r="DX494" s="46"/>
      <c r="DY494" s="46"/>
      <c r="DZ494" s="46"/>
      <c r="EA494" s="46"/>
      <c r="EB494" s="46"/>
      <c r="EC494" s="46"/>
      <c r="ED494" s="46"/>
      <c r="EE494" s="46"/>
      <c r="EF494" s="46"/>
      <c r="EG494" s="46"/>
      <c r="EH494" s="46"/>
      <c r="EI494" s="46"/>
      <c r="EJ494" s="46"/>
      <c r="EK494" s="46"/>
      <c r="EL494" s="46"/>
      <c r="EM494" s="46"/>
      <c r="EN494" s="46"/>
      <c r="EO494" s="46"/>
      <c r="EP494" s="46"/>
      <c r="EQ494" s="46"/>
      <c r="ER494" s="46"/>
      <c r="ES494" s="46"/>
      <c r="ET494" s="46"/>
      <c r="EU494" s="46"/>
      <c r="EV494" s="46"/>
      <c r="EW494" s="46"/>
      <c r="EX494" s="46"/>
      <c r="EY494" s="46"/>
      <c r="EZ494" s="46"/>
      <c r="FA494" s="46"/>
      <c r="FB494" s="46"/>
      <c r="FC494" s="46"/>
      <c r="FD494" s="46"/>
      <c r="FE494" s="46"/>
      <c r="FF494" s="46"/>
      <c r="FG494" s="46"/>
      <c r="FH494" s="46"/>
      <c r="FI494" s="46"/>
      <c r="FJ494" s="46"/>
      <c r="FK494" s="46"/>
      <c r="FL494" s="46"/>
      <c r="FM494" s="46"/>
      <c r="FN494" s="46"/>
      <c r="FO494" s="46"/>
      <c r="FP494" s="46"/>
      <c r="FQ494" s="46"/>
      <c r="FR494" s="46"/>
      <c r="FS494" s="46"/>
      <c r="FT494" s="46"/>
      <c r="FU494" s="46"/>
      <c r="FV494" s="46"/>
      <c r="FW494" s="46"/>
      <c r="FX494" s="46"/>
      <c r="FY494" s="46"/>
      <c r="FZ494" s="46"/>
      <c r="GA494" s="46"/>
      <c r="GB494" s="46"/>
      <c r="GC494" s="46"/>
      <c r="GD494" s="46"/>
      <c r="GE494" s="46"/>
      <c r="GF494" s="46"/>
      <c r="GG494" s="46"/>
      <c r="GH494" s="46"/>
      <c r="GI494" s="46"/>
      <c r="GJ494" s="46"/>
      <c r="GK494" s="46"/>
      <c r="GL494" s="46"/>
      <c r="GM494" s="46"/>
      <c r="GN494" s="46"/>
      <c r="GO494" s="46"/>
      <c r="GP494" s="46"/>
    </row>
    <row r="495" spans="2:198" x14ac:dyDescent="0.2">
      <c r="G495" s="168"/>
      <c r="H495" s="47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  <c r="CI495" s="46"/>
      <c r="CJ495" s="46"/>
      <c r="CK495" s="46"/>
      <c r="CL495" s="46"/>
      <c r="CM495" s="46"/>
      <c r="CN495" s="46"/>
      <c r="CO495" s="46"/>
      <c r="CP495" s="46"/>
      <c r="CQ495" s="46"/>
      <c r="CR495" s="46"/>
      <c r="CS495" s="46"/>
      <c r="CT495" s="46"/>
      <c r="CU495" s="46"/>
      <c r="CV495" s="46"/>
      <c r="CW495" s="46"/>
      <c r="CX495" s="46"/>
      <c r="CY495" s="46"/>
      <c r="CZ495" s="46"/>
      <c r="DA495" s="46"/>
      <c r="DB495" s="46"/>
      <c r="DC495" s="46"/>
      <c r="DD495" s="46"/>
      <c r="DE495" s="46"/>
      <c r="DF495" s="46"/>
      <c r="DG495" s="46"/>
      <c r="DH495" s="46"/>
      <c r="DI495" s="46"/>
      <c r="DJ495" s="46"/>
      <c r="DK495" s="46"/>
      <c r="DL495" s="46"/>
      <c r="DM495" s="46"/>
      <c r="DN495" s="46"/>
      <c r="DO495" s="46"/>
      <c r="DP495" s="46"/>
      <c r="DQ495" s="46"/>
      <c r="DR495" s="46"/>
      <c r="DS495" s="46"/>
      <c r="DT495" s="46"/>
      <c r="DU495" s="46"/>
      <c r="DV495" s="46"/>
      <c r="DW495" s="46"/>
      <c r="DX495" s="46"/>
      <c r="DY495" s="46"/>
      <c r="DZ495" s="46"/>
      <c r="EA495" s="46"/>
      <c r="EB495" s="46"/>
      <c r="EC495" s="46"/>
      <c r="ED495" s="46"/>
      <c r="EE495" s="46"/>
      <c r="EF495" s="46"/>
      <c r="EG495" s="46"/>
      <c r="EH495" s="46"/>
      <c r="EI495" s="46"/>
      <c r="EJ495" s="46"/>
      <c r="EK495" s="46"/>
      <c r="EL495" s="46"/>
      <c r="EM495" s="46"/>
      <c r="EN495" s="46"/>
      <c r="EO495" s="46"/>
      <c r="EP495" s="46"/>
      <c r="EQ495" s="46"/>
      <c r="ER495" s="46"/>
      <c r="ES495" s="46"/>
      <c r="ET495" s="46"/>
      <c r="EU495" s="46"/>
      <c r="EV495" s="46"/>
      <c r="EW495" s="46"/>
      <c r="EX495" s="46"/>
      <c r="EY495" s="46"/>
      <c r="EZ495" s="46"/>
      <c r="FA495" s="46"/>
      <c r="FB495" s="46"/>
      <c r="FC495" s="46"/>
      <c r="FD495" s="46"/>
      <c r="FE495" s="46"/>
      <c r="FF495" s="46"/>
      <c r="FG495" s="46"/>
      <c r="FH495" s="46"/>
      <c r="FI495" s="46"/>
      <c r="FJ495" s="46"/>
      <c r="FK495" s="46"/>
      <c r="FL495" s="46"/>
      <c r="FM495" s="46"/>
      <c r="FN495" s="46"/>
      <c r="FO495" s="46"/>
      <c r="FP495" s="46"/>
      <c r="FQ495" s="46"/>
      <c r="FR495" s="46"/>
      <c r="FS495" s="46"/>
      <c r="FT495" s="46"/>
      <c r="FU495" s="46"/>
      <c r="FV495" s="46"/>
      <c r="FW495" s="46"/>
      <c r="FX495" s="46"/>
      <c r="FY495" s="46"/>
      <c r="FZ495" s="46"/>
      <c r="GA495" s="46"/>
      <c r="GB495" s="46"/>
      <c r="GC495" s="46"/>
      <c r="GD495" s="46"/>
      <c r="GE495" s="46"/>
      <c r="GF495" s="46"/>
      <c r="GG495" s="46"/>
      <c r="GH495" s="46"/>
      <c r="GI495" s="46"/>
      <c r="GJ495" s="46"/>
      <c r="GK495" s="46"/>
      <c r="GL495" s="46"/>
      <c r="GM495" s="46"/>
      <c r="GN495" s="46"/>
      <c r="GO495" s="46"/>
      <c r="GP495" s="46"/>
    </row>
    <row r="496" spans="2:198" x14ac:dyDescent="0.2">
      <c r="G496" s="168"/>
      <c r="H496" s="47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  <c r="CZ496" s="46"/>
      <c r="DA496" s="46"/>
      <c r="DB496" s="46"/>
      <c r="DC496" s="46"/>
      <c r="DD496" s="46"/>
      <c r="DE496" s="46"/>
      <c r="DF496" s="46"/>
      <c r="DG496" s="46"/>
      <c r="DH496" s="46"/>
      <c r="DI496" s="46"/>
      <c r="DJ496" s="46"/>
      <c r="DK496" s="46"/>
      <c r="DL496" s="46"/>
      <c r="DM496" s="46"/>
      <c r="DN496" s="46"/>
      <c r="DO496" s="46"/>
      <c r="DP496" s="46"/>
      <c r="DQ496" s="46"/>
      <c r="DR496" s="46"/>
      <c r="DS496" s="46"/>
      <c r="DT496" s="46"/>
      <c r="DU496" s="46"/>
      <c r="DV496" s="46"/>
      <c r="DW496" s="46"/>
      <c r="DX496" s="46"/>
      <c r="DY496" s="46"/>
      <c r="DZ496" s="46"/>
      <c r="EA496" s="46"/>
      <c r="EB496" s="46"/>
      <c r="EC496" s="46"/>
      <c r="ED496" s="46"/>
      <c r="EE496" s="46"/>
      <c r="EF496" s="46"/>
      <c r="EG496" s="46"/>
      <c r="EH496" s="46"/>
      <c r="EI496" s="46"/>
      <c r="EJ496" s="46"/>
      <c r="EK496" s="46"/>
      <c r="EL496" s="46"/>
      <c r="EM496" s="46"/>
      <c r="EN496" s="46"/>
      <c r="EO496" s="46"/>
      <c r="EP496" s="46"/>
      <c r="EQ496" s="46"/>
      <c r="ER496" s="46"/>
      <c r="ES496" s="46"/>
      <c r="ET496" s="46"/>
      <c r="EU496" s="46"/>
      <c r="EV496" s="46"/>
      <c r="EW496" s="46"/>
      <c r="EX496" s="46"/>
      <c r="EY496" s="46"/>
      <c r="EZ496" s="46"/>
      <c r="FA496" s="46"/>
      <c r="FB496" s="46"/>
      <c r="FC496" s="46"/>
      <c r="FD496" s="46"/>
      <c r="FE496" s="46"/>
      <c r="FF496" s="46"/>
      <c r="FG496" s="46"/>
      <c r="FH496" s="46"/>
      <c r="FI496" s="46"/>
      <c r="FJ496" s="46"/>
      <c r="FK496" s="46"/>
      <c r="FL496" s="46"/>
      <c r="FM496" s="46"/>
      <c r="FN496" s="46"/>
      <c r="FO496" s="46"/>
      <c r="FP496" s="46"/>
      <c r="FQ496" s="46"/>
      <c r="FR496" s="46"/>
      <c r="FS496" s="46"/>
      <c r="FT496" s="46"/>
      <c r="FU496" s="46"/>
      <c r="FV496" s="46"/>
      <c r="FW496" s="46"/>
      <c r="FX496" s="46"/>
      <c r="FY496" s="46"/>
      <c r="FZ496" s="46"/>
      <c r="GA496" s="46"/>
      <c r="GB496" s="46"/>
      <c r="GC496" s="46"/>
      <c r="GD496" s="46"/>
      <c r="GE496" s="46"/>
      <c r="GF496" s="46"/>
      <c r="GG496" s="46"/>
      <c r="GH496" s="46"/>
      <c r="GI496" s="46"/>
      <c r="GJ496" s="46"/>
      <c r="GK496" s="46"/>
      <c r="GL496" s="46"/>
      <c r="GM496" s="46"/>
      <c r="GN496" s="46"/>
      <c r="GO496" s="46"/>
      <c r="GP496" s="46"/>
    </row>
    <row r="497" spans="7:198" x14ac:dyDescent="0.2">
      <c r="G497" s="168"/>
      <c r="H497" s="47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  <c r="CU497" s="46"/>
      <c r="CV497" s="46"/>
      <c r="CW497" s="46"/>
      <c r="CX497" s="46"/>
      <c r="CY497" s="46"/>
      <c r="CZ497" s="46"/>
      <c r="DA497" s="46"/>
      <c r="DB497" s="46"/>
      <c r="DC497" s="46"/>
      <c r="DD497" s="46"/>
      <c r="DE497" s="46"/>
      <c r="DF497" s="46"/>
      <c r="DG497" s="46"/>
      <c r="DH497" s="46"/>
      <c r="DI497" s="46"/>
      <c r="DJ497" s="46"/>
      <c r="DK497" s="46"/>
      <c r="DL497" s="46"/>
      <c r="DM497" s="46"/>
      <c r="DN497" s="46"/>
      <c r="DO497" s="46"/>
      <c r="DP497" s="46"/>
      <c r="DQ497" s="46"/>
      <c r="DR497" s="46"/>
      <c r="DS497" s="46"/>
      <c r="DT497" s="46"/>
      <c r="DU497" s="46"/>
      <c r="DV497" s="46"/>
      <c r="DW497" s="46"/>
      <c r="DX497" s="46"/>
      <c r="DY497" s="46"/>
      <c r="DZ497" s="46"/>
      <c r="EA497" s="46"/>
      <c r="EB497" s="46"/>
      <c r="EC497" s="46"/>
      <c r="ED497" s="46"/>
      <c r="EE497" s="46"/>
      <c r="EF497" s="46"/>
      <c r="EG497" s="46"/>
      <c r="EH497" s="46"/>
      <c r="EI497" s="46"/>
      <c r="EJ497" s="46"/>
      <c r="EK497" s="46"/>
      <c r="EL497" s="46"/>
      <c r="EM497" s="46"/>
      <c r="EN497" s="46"/>
      <c r="EO497" s="46"/>
      <c r="EP497" s="46"/>
      <c r="EQ497" s="46"/>
      <c r="ER497" s="46"/>
      <c r="ES497" s="46"/>
      <c r="ET497" s="46"/>
      <c r="EU497" s="46"/>
      <c r="EV497" s="46"/>
      <c r="EW497" s="46"/>
      <c r="EX497" s="46"/>
      <c r="EY497" s="46"/>
      <c r="EZ497" s="46"/>
      <c r="FA497" s="46"/>
      <c r="FB497" s="46"/>
      <c r="FC497" s="46"/>
      <c r="FD497" s="46"/>
      <c r="FE497" s="46"/>
      <c r="FF497" s="46"/>
      <c r="FG497" s="46"/>
      <c r="FH497" s="46"/>
      <c r="FI497" s="46"/>
      <c r="FJ497" s="46"/>
      <c r="FK497" s="46"/>
      <c r="FL497" s="46"/>
      <c r="FM497" s="46"/>
      <c r="FN497" s="46"/>
      <c r="FO497" s="46"/>
      <c r="FP497" s="46"/>
      <c r="FQ497" s="46"/>
      <c r="FR497" s="46"/>
      <c r="FS497" s="46"/>
      <c r="FT497" s="46"/>
      <c r="FU497" s="46"/>
      <c r="FV497" s="46"/>
      <c r="FW497" s="46"/>
      <c r="FX497" s="46"/>
      <c r="FY497" s="46"/>
      <c r="FZ497" s="46"/>
      <c r="GA497" s="46"/>
      <c r="GB497" s="46"/>
      <c r="GC497" s="46"/>
      <c r="GD497" s="46"/>
      <c r="GE497" s="46"/>
      <c r="GF497" s="46"/>
      <c r="GG497" s="46"/>
      <c r="GH497" s="46"/>
      <c r="GI497" s="46"/>
      <c r="GJ497" s="46"/>
      <c r="GK497" s="46"/>
      <c r="GL497" s="46"/>
      <c r="GM497" s="46"/>
      <c r="GN497" s="46"/>
      <c r="GO497" s="46"/>
      <c r="GP497" s="46"/>
    </row>
    <row r="498" spans="7:198" x14ac:dyDescent="0.2">
      <c r="G498" s="168"/>
      <c r="H498" s="47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46"/>
      <c r="DP498" s="46"/>
      <c r="DQ498" s="46"/>
      <c r="DR498" s="46"/>
      <c r="DS498" s="46"/>
      <c r="DT498" s="46"/>
      <c r="DU498" s="46"/>
      <c r="DV498" s="46"/>
      <c r="DW498" s="46"/>
      <c r="DX498" s="46"/>
      <c r="DY498" s="46"/>
      <c r="DZ498" s="46"/>
      <c r="EA498" s="46"/>
      <c r="EB498" s="46"/>
      <c r="EC498" s="46"/>
      <c r="ED498" s="46"/>
      <c r="EE498" s="46"/>
      <c r="EF498" s="46"/>
      <c r="EG498" s="46"/>
      <c r="EH498" s="46"/>
      <c r="EI498" s="46"/>
      <c r="EJ498" s="46"/>
      <c r="EK498" s="46"/>
      <c r="EL498" s="46"/>
      <c r="EM498" s="46"/>
      <c r="EN498" s="46"/>
      <c r="EO498" s="46"/>
      <c r="EP498" s="46"/>
      <c r="EQ498" s="46"/>
      <c r="ER498" s="46"/>
      <c r="ES498" s="46"/>
      <c r="ET498" s="46"/>
      <c r="EU498" s="46"/>
      <c r="EV498" s="46"/>
      <c r="EW498" s="46"/>
      <c r="EX498" s="46"/>
      <c r="EY498" s="46"/>
      <c r="EZ498" s="46"/>
      <c r="FA498" s="46"/>
      <c r="FB498" s="46"/>
      <c r="FC498" s="46"/>
      <c r="FD498" s="46"/>
      <c r="FE498" s="46"/>
      <c r="FF498" s="46"/>
      <c r="FG498" s="46"/>
      <c r="FH498" s="46"/>
      <c r="FI498" s="46"/>
      <c r="FJ498" s="46"/>
      <c r="FK498" s="46"/>
      <c r="FL498" s="46"/>
      <c r="FM498" s="46"/>
      <c r="FN498" s="46"/>
      <c r="FO498" s="46"/>
      <c r="FP498" s="46"/>
      <c r="FQ498" s="46"/>
      <c r="FR498" s="46"/>
      <c r="FS498" s="46"/>
      <c r="FT498" s="46"/>
      <c r="FU498" s="46"/>
      <c r="FV498" s="46"/>
      <c r="FW498" s="46"/>
      <c r="FX498" s="46"/>
      <c r="FY498" s="46"/>
      <c r="FZ498" s="46"/>
      <c r="GA498" s="46"/>
      <c r="GB498" s="46"/>
      <c r="GC498" s="46"/>
      <c r="GD498" s="46"/>
      <c r="GE498" s="46"/>
      <c r="GF498" s="46"/>
      <c r="GG498" s="46"/>
      <c r="GH498" s="46"/>
      <c r="GI498" s="46"/>
      <c r="GJ498" s="46"/>
      <c r="GK498" s="46"/>
      <c r="GL498" s="46"/>
      <c r="GM498" s="46"/>
      <c r="GN498" s="46"/>
      <c r="GO498" s="46"/>
      <c r="GP498" s="46"/>
    </row>
    <row r="499" spans="7:198" x14ac:dyDescent="0.2">
      <c r="G499" s="168"/>
      <c r="H499" s="47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46"/>
      <c r="DP499" s="46"/>
      <c r="DQ499" s="46"/>
      <c r="DR499" s="46"/>
      <c r="DS499" s="46"/>
      <c r="DT499" s="46"/>
      <c r="DU499" s="46"/>
      <c r="DV499" s="46"/>
      <c r="DW499" s="46"/>
      <c r="DX499" s="46"/>
      <c r="DY499" s="46"/>
      <c r="DZ499" s="46"/>
      <c r="EA499" s="46"/>
      <c r="EB499" s="46"/>
      <c r="EC499" s="46"/>
      <c r="ED499" s="46"/>
      <c r="EE499" s="46"/>
      <c r="EF499" s="46"/>
      <c r="EG499" s="46"/>
      <c r="EH499" s="46"/>
      <c r="EI499" s="46"/>
      <c r="EJ499" s="46"/>
      <c r="EK499" s="46"/>
      <c r="EL499" s="46"/>
      <c r="EM499" s="46"/>
      <c r="EN499" s="46"/>
      <c r="EO499" s="46"/>
      <c r="EP499" s="46"/>
      <c r="EQ499" s="46"/>
      <c r="ER499" s="46"/>
      <c r="ES499" s="46"/>
      <c r="ET499" s="46"/>
      <c r="EU499" s="46"/>
      <c r="EV499" s="46"/>
      <c r="EW499" s="46"/>
      <c r="EX499" s="46"/>
      <c r="EY499" s="46"/>
      <c r="EZ499" s="46"/>
      <c r="FA499" s="46"/>
      <c r="FB499" s="46"/>
      <c r="FC499" s="46"/>
      <c r="FD499" s="46"/>
      <c r="FE499" s="46"/>
      <c r="FF499" s="46"/>
      <c r="FG499" s="46"/>
      <c r="FH499" s="46"/>
      <c r="FI499" s="46"/>
      <c r="FJ499" s="46"/>
      <c r="FK499" s="46"/>
      <c r="FL499" s="46"/>
      <c r="FM499" s="46"/>
      <c r="FN499" s="46"/>
      <c r="FO499" s="46"/>
      <c r="FP499" s="46"/>
      <c r="FQ499" s="46"/>
      <c r="FR499" s="46"/>
      <c r="FS499" s="46"/>
      <c r="FT499" s="46"/>
      <c r="FU499" s="46"/>
      <c r="FV499" s="46"/>
      <c r="FW499" s="46"/>
      <c r="FX499" s="46"/>
      <c r="FY499" s="46"/>
      <c r="FZ499" s="46"/>
      <c r="GA499" s="46"/>
      <c r="GB499" s="46"/>
      <c r="GC499" s="46"/>
      <c r="GD499" s="46"/>
      <c r="GE499" s="46"/>
      <c r="GF499" s="46"/>
      <c r="GG499" s="46"/>
      <c r="GH499" s="46"/>
      <c r="GI499" s="46"/>
      <c r="GJ499" s="46"/>
      <c r="GK499" s="46"/>
      <c r="GL499" s="46"/>
      <c r="GM499" s="46"/>
      <c r="GN499" s="46"/>
      <c r="GO499" s="46"/>
      <c r="GP499" s="46"/>
    </row>
    <row r="500" spans="7:198" x14ac:dyDescent="0.2">
      <c r="G500" s="168"/>
      <c r="H500" s="47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46"/>
      <c r="DP500" s="46"/>
      <c r="DQ500" s="46"/>
      <c r="DR500" s="46"/>
      <c r="DS500" s="46"/>
      <c r="DT500" s="46"/>
      <c r="DU500" s="46"/>
      <c r="DV500" s="46"/>
      <c r="DW500" s="46"/>
      <c r="DX500" s="46"/>
      <c r="DY500" s="46"/>
      <c r="DZ500" s="46"/>
      <c r="EA500" s="46"/>
      <c r="EB500" s="46"/>
      <c r="EC500" s="46"/>
      <c r="ED500" s="46"/>
      <c r="EE500" s="46"/>
      <c r="EF500" s="46"/>
      <c r="EG500" s="46"/>
      <c r="EH500" s="46"/>
      <c r="EI500" s="46"/>
      <c r="EJ500" s="46"/>
      <c r="EK500" s="46"/>
      <c r="EL500" s="46"/>
      <c r="EM500" s="46"/>
      <c r="EN500" s="46"/>
      <c r="EO500" s="46"/>
      <c r="EP500" s="46"/>
      <c r="EQ500" s="46"/>
      <c r="ER500" s="46"/>
      <c r="ES500" s="46"/>
      <c r="ET500" s="46"/>
      <c r="EU500" s="46"/>
      <c r="EV500" s="46"/>
      <c r="EW500" s="46"/>
      <c r="EX500" s="46"/>
      <c r="EY500" s="46"/>
      <c r="EZ500" s="46"/>
      <c r="FA500" s="46"/>
      <c r="FB500" s="46"/>
      <c r="FC500" s="46"/>
      <c r="FD500" s="46"/>
      <c r="FE500" s="46"/>
      <c r="FF500" s="46"/>
      <c r="FG500" s="46"/>
      <c r="FH500" s="46"/>
      <c r="FI500" s="46"/>
      <c r="FJ500" s="46"/>
      <c r="FK500" s="46"/>
      <c r="FL500" s="46"/>
      <c r="FM500" s="46"/>
      <c r="FN500" s="46"/>
      <c r="FO500" s="46"/>
      <c r="FP500" s="46"/>
      <c r="FQ500" s="46"/>
      <c r="FR500" s="46"/>
      <c r="FS500" s="46"/>
      <c r="FT500" s="46"/>
      <c r="FU500" s="46"/>
      <c r="FV500" s="46"/>
      <c r="FW500" s="46"/>
      <c r="FX500" s="46"/>
      <c r="FY500" s="46"/>
      <c r="FZ500" s="46"/>
      <c r="GA500" s="46"/>
      <c r="GB500" s="46"/>
      <c r="GC500" s="46"/>
      <c r="GD500" s="46"/>
      <c r="GE500" s="46"/>
      <c r="GF500" s="46"/>
      <c r="GG500" s="46"/>
      <c r="GH500" s="46"/>
      <c r="GI500" s="46"/>
      <c r="GJ500" s="46"/>
      <c r="GK500" s="46"/>
      <c r="GL500" s="46"/>
      <c r="GM500" s="46"/>
      <c r="GN500" s="46"/>
      <c r="GO500" s="46"/>
      <c r="GP500" s="46"/>
    </row>
  </sheetData>
  <mergeCells count="4">
    <mergeCell ref="A2:D2"/>
    <mergeCell ref="A3:D3"/>
    <mergeCell ref="A4:D4"/>
    <mergeCell ref="A5:D5"/>
  </mergeCells>
  <phoneticPr fontId="16" type="noConversion"/>
  <printOptions horizontalCentered="1"/>
  <pageMargins left="0.25" right="0.25" top="0.25" bottom="0.25" header="0.5" footer="0.5"/>
  <pageSetup scale="64" firstPageNumber="37" orientation="portrait" useFirstPageNumber="1" r:id="rId1"/>
  <headerFooter alignWithMargins="0">
    <oddFooter>&amp;C&amp;P</oddFooter>
  </headerFooter>
  <rowBreaks count="6" manualBreakCount="6">
    <brk id="74" max="3" man="1"/>
    <brk id="144" max="3" man="1"/>
    <brk id="217" max="3" man="1"/>
    <brk id="287" max="3" man="1"/>
    <brk id="354" max="3" man="1"/>
    <brk id="4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Foreign</vt:lpstr>
      <vt:lpstr>Foreign!Print_Area</vt:lpstr>
      <vt:lpstr>Foreign!Print_Titles</vt:lpstr>
    </vt:vector>
  </TitlesOfParts>
  <Company>ACCOUNTANT GENERAL'S DEPT.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 General Department</dc:creator>
  <cp:lastModifiedBy>Eduardo Andres Estrada</cp:lastModifiedBy>
  <cp:lastPrinted>2013-04-18T01:57:28Z</cp:lastPrinted>
  <dcterms:created xsi:type="dcterms:W3CDTF">2003-01-15T17:37:58Z</dcterms:created>
  <dcterms:modified xsi:type="dcterms:W3CDTF">2016-06-29T01:36:17Z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1810097850</vt:i4>
  </property>
  <property fmtid="{D5CDD505-2E9C-101B-9397-08002B2CF9AE}" pid="3" name="_ReviewCycleID">
    <vt:i4>1810097850</vt:i4>
  </property>
  <property fmtid="{D5CDD505-2E9C-101B-9397-08002B2CF9AE}" pid="4" name="_NewReviewCycle">
    <vt:lpwstr/>
  </property>
  <property fmtid="{D5CDD505-2E9C-101B-9397-08002B2CF9AE}" pid="5" name="_EmailEntryID">
    <vt:lpwstr>00000000FAA66D7EA57094448667E0FB342C4D2884123400</vt:lpwstr>
  </property>
  <property fmtid="{D5CDD505-2E9C-101B-9397-08002B2CF9AE}" pid="6" name="_EmailStoreID0">
    <vt:lpwstr>0000000038A1BB1005E5101AA1BB08002B2A56C200006D737073742E646C6C00000000004E495441F9BFB80100AA0037D96E0000000043003A005C00550073006500720073005C0073006F006E00690061005C0041007000700044006100740061005C004C006F00630061006C005C004D006900630072006F0073006F00660</vt:lpwstr>
  </property>
  <property fmtid="{D5CDD505-2E9C-101B-9397-08002B2CF9AE}" pid="7" name="_EmailStoreID1">
    <vt:lpwstr>074005C004F00750074006C006F006F006B005C004F00750074006C006F006F006B002E007000730074000000</vt:lpwstr>
  </property>
  <property fmtid="{D5CDD505-2E9C-101B-9397-08002B2CF9AE}" pid="8" name="_ReviewingToolsShownOnce">
    <vt:lpwstr/>
  </property>
</Properties>
</file>