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ene.morrison\Desktop\New folder\Senior Director\Financial Year 2023-24\REVENUE BUDGET\"/>
    </mc:Choice>
  </mc:AlternateContent>
  <xr:revisionPtr revIDLastSave="0" documentId="8_{EE6BC84E-E2FE-42B0-BD7A-253CFC9B42AD}" xr6:coauthVersionLast="47" xr6:coauthVersionMax="47" xr10:uidLastSave="{00000000-0000-0000-0000-000000000000}"/>
  <bookViews>
    <workbookView xWindow="-110" yWindow="-110" windowWidth="19420" windowHeight="12560" xr2:uid="{00000000-000D-0000-FFFF-FFFF00000000}"/>
  </bookViews>
  <sheets>
    <sheet name="STATEMENT 1" sheetId="4" r:id="rId1"/>
    <sheet name="STATEMENT 2" sheetId="2" r:id="rId2"/>
    <sheet name="STATEMENT 3" sheetId="5" r:id="rId3"/>
    <sheet name="STATEMENT 4" sheetId="6" r:id="rId4"/>
    <sheet name="STATEMENT 5" sheetId="9" r:id="rId5"/>
    <sheet name="SUMMARY SHEET AUGUST -DECEMBER" sheetId="7" state="hidden" r:id="rId6"/>
    <sheet name="Sheet1" sheetId="8" state="hidden" r:id="rId7"/>
  </sheets>
  <externalReferences>
    <externalReference r:id="rId8"/>
    <externalReference r:id="rId9"/>
    <externalReference r:id="rId10"/>
    <externalReference r:id="rId11"/>
  </externalReferences>
  <definedNames>
    <definedName name="_xlnm.Print_Area" localSheetId="0">'STATEMENT 1'!$A$1:$G$73</definedName>
    <definedName name="_xlnm.Print_Area" localSheetId="1">'STATEMENT 2'!$F$1:$O$474</definedName>
    <definedName name="_xlnm.Print_Area" localSheetId="3">'STATEMENT 4'!$A$1:$H$49</definedName>
    <definedName name="_xlnm.Print_Titles" localSheetId="1">'STATEMENT 2'!$1:$10</definedName>
    <definedName name="_xlnm.Print_Titles" localSheetId="2">'STATEMENT 3'!$1:$4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68" i="2" l="1"/>
  <c r="K471" i="2"/>
  <c r="J138" i="2" l="1"/>
  <c r="I64" i="9" l="1"/>
  <c r="I71" i="9" s="1"/>
  <c r="I51" i="5"/>
  <c r="I43" i="5"/>
  <c r="J452" i="2" l="1"/>
  <c r="H375" i="2" l="1"/>
  <c r="H42" i="2" l="1"/>
  <c r="J123" i="2" l="1"/>
  <c r="J130" i="2"/>
  <c r="I42" i="2"/>
  <c r="J128" i="2"/>
  <c r="K41" i="2"/>
  <c r="K40" i="2"/>
  <c r="K39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3" i="2"/>
  <c r="G61" i="2"/>
  <c r="J15" i="2"/>
  <c r="K15" i="2" s="1"/>
  <c r="J14" i="2"/>
  <c r="K14" i="2" s="1"/>
  <c r="J86" i="2" l="1"/>
  <c r="J137" i="2" l="1"/>
  <c r="K331" i="2" l="1"/>
  <c r="K332" i="2"/>
  <c r="K333" i="2"/>
  <c r="K334" i="2"/>
  <c r="K335" i="2"/>
  <c r="K336" i="2"/>
  <c r="K337" i="2"/>
  <c r="K338" i="2"/>
  <c r="K339" i="2"/>
  <c r="K340" i="2"/>
  <c r="K341" i="2"/>
  <c r="K342" i="2"/>
  <c r="K330" i="2"/>
  <c r="K325" i="2"/>
  <c r="J192" i="2" l="1"/>
  <c r="J126" i="2" l="1"/>
  <c r="H343" i="2" l="1"/>
  <c r="K343" i="2" s="1"/>
  <c r="G343" i="2"/>
  <c r="G374" i="2"/>
  <c r="G364" i="2"/>
  <c r="G352" i="2"/>
  <c r="G327" i="2"/>
  <c r="G318" i="2"/>
  <c r="G302" i="2"/>
  <c r="G291" i="2"/>
  <c r="G281" i="2"/>
  <c r="G273" i="2"/>
  <c r="G266" i="2"/>
  <c r="G262" i="2"/>
  <c r="G255" i="2"/>
  <c r="G245" i="2"/>
  <c r="G236" i="2"/>
  <c r="G227" i="2"/>
  <c r="G218" i="2"/>
  <c r="G208" i="2"/>
  <c r="G197" i="2"/>
  <c r="G192" i="2"/>
  <c r="G183" i="2"/>
  <c r="G174" i="2"/>
  <c r="G170" i="2"/>
  <c r="G154" i="2"/>
  <c r="G142" i="2"/>
  <c r="G120" i="2"/>
  <c r="G103" i="2"/>
  <c r="G92" i="2"/>
  <c r="G82" i="2"/>
  <c r="G72" i="2"/>
  <c r="H51" i="2" l="1"/>
  <c r="I351" i="2" l="1"/>
  <c r="C193" i="7" l="1"/>
  <c r="H174" i="7"/>
  <c r="H52" i="7"/>
  <c r="C380" i="7"/>
  <c r="C444" i="7" s="1"/>
  <c r="C446" i="7" s="1"/>
  <c r="D380" i="7"/>
  <c r="D444" i="7" s="1"/>
  <c r="C261" i="7"/>
  <c r="D261" i="7"/>
  <c r="D243" i="7"/>
  <c r="C243" i="7"/>
  <c r="D238" i="7"/>
  <c r="C238" i="7"/>
  <c r="D185" i="7"/>
  <c r="D193" i="7" s="1"/>
  <c r="D161" i="7"/>
  <c r="D165" i="7" s="1"/>
  <c r="C161" i="7"/>
  <c r="C165" i="7" s="1"/>
  <c r="C143" i="7"/>
  <c r="C98" i="7"/>
  <c r="C94" i="7"/>
  <c r="H42" i="7"/>
  <c r="B202" i="7"/>
  <c r="B203" i="7" s="1"/>
  <c r="B198" i="7"/>
  <c r="B182" i="7"/>
  <c r="B193" i="7" s="1"/>
  <c r="I377" i="2" l="1"/>
  <c r="H374" i="2"/>
  <c r="H364" i="2"/>
  <c r="H352" i="2"/>
  <c r="H56" i="2"/>
  <c r="H77" i="2"/>
  <c r="H327" i="2"/>
  <c r="H318" i="2"/>
  <c r="H302" i="2"/>
  <c r="H291" i="2"/>
  <c r="H273" i="2"/>
  <c r="H266" i="2"/>
  <c r="H262" i="2"/>
  <c r="H92" i="2"/>
  <c r="I162" i="2" l="1"/>
  <c r="H142" i="2" l="1"/>
  <c r="E185" i="7" l="1"/>
  <c r="H185" i="7" s="1"/>
  <c r="E161" i="7"/>
  <c r="H161" i="7" s="1"/>
  <c r="H62" i="7"/>
  <c r="H40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1" i="7"/>
  <c r="H43" i="7"/>
  <c r="H44" i="7"/>
  <c r="H45" i="7"/>
  <c r="H46" i="7"/>
  <c r="H47" i="7"/>
  <c r="H48" i="7"/>
  <c r="H49" i="7"/>
  <c r="H50" i="7"/>
  <c r="H51" i="7"/>
  <c r="H54" i="7"/>
  <c r="H55" i="7"/>
  <c r="H56" i="7"/>
  <c r="H57" i="7"/>
  <c r="H58" i="7"/>
  <c r="H59" i="7"/>
  <c r="H60" i="7"/>
  <c r="H61" i="7"/>
  <c r="H63" i="7"/>
  <c r="H64" i="7"/>
  <c r="H65" i="7"/>
  <c r="H66" i="7"/>
  <c r="I60" i="2" s="1"/>
  <c r="H68" i="7"/>
  <c r="H69" i="7"/>
  <c r="H70" i="7"/>
  <c r="H71" i="7"/>
  <c r="I65" i="2" s="1"/>
  <c r="H72" i="7"/>
  <c r="H73" i="7"/>
  <c r="H74" i="7"/>
  <c r="H75" i="7"/>
  <c r="H76" i="7"/>
  <c r="H77" i="7"/>
  <c r="H78" i="7"/>
  <c r="H79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3" i="7"/>
  <c r="H94" i="7"/>
  <c r="H95" i="7"/>
  <c r="H96" i="7"/>
  <c r="H97" i="7"/>
  <c r="H98" i="7"/>
  <c r="H99" i="7"/>
  <c r="H100" i="7"/>
  <c r="H101" i="7"/>
  <c r="H102" i="7"/>
  <c r="H103" i="7"/>
  <c r="H104" i="7"/>
  <c r="H105" i="7"/>
  <c r="H106" i="7"/>
  <c r="H107" i="7"/>
  <c r="H108" i="7"/>
  <c r="H109" i="7"/>
  <c r="H110" i="7"/>
  <c r="H111" i="7"/>
  <c r="H112" i="7"/>
  <c r="H113" i="7"/>
  <c r="H114" i="7"/>
  <c r="H115" i="7"/>
  <c r="H116" i="7"/>
  <c r="H117" i="7"/>
  <c r="H118" i="7"/>
  <c r="H119" i="7"/>
  <c r="H120" i="7"/>
  <c r="H121" i="7"/>
  <c r="H122" i="7"/>
  <c r="H123" i="7"/>
  <c r="H124" i="7"/>
  <c r="H125" i="7"/>
  <c r="H126" i="7"/>
  <c r="H127" i="7"/>
  <c r="H128" i="7"/>
  <c r="H129" i="7"/>
  <c r="H130" i="7"/>
  <c r="H131" i="7"/>
  <c r="H132" i="7"/>
  <c r="H133" i="7"/>
  <c r="H134" i="7"/>
  <c r="H135" i="7"/>
  <c r="H136" i="7"/>
  <c r="H137" i="7"/>
  <c r="H138" i="7"/>
  <c r="H139" i="7"/>
  <c r="H140" i="7"/>
  <c r="H141" i="7"/>
  <c r="H142" i="7"/>
  <c r="H143" i="7"/>
  <c r="H145" i="7"/>
  <c r="H146" i="7"/>
  <c r="H147" i="7"/>
  <c r="H148" i="7"/>
  <c r="H149" i="7"/>
  <c r="H150" i="7"/>
  <c r="H151" i="7"/>
  <c r="H152" i="7"/>
  <c r="I129" i="2" s="1"/>
  <c r="H153" i="7"/>
  <c r="H154" i="7"/>
  <c r="H155" i="7"/>
  <c r="H156" i="7"/>
  <c r="H157" i="7"/>
  <c r="H158" i="7"/>
  <c r="H159" i="7"/>
  <c r="H160" i="7"/>
  <c r="H162" i="7"/>
  <c r="H163" i="7"/>
  <c r="H164" i="7"/>
  <c r="H165" i="7"/>
  <c r="H166" i="7"/>
  <c r="H167" i="7"/>
  <c r="H168" i="7"/>
  <c r="H169" i="7"/>
  <c r="H170" i="7"/>
  <c r="H171" i="7"/>
  <c r="H172" i="7"/>
  <c r="H173" i="7"/>
  <c r="H175" i="7"/>
  <c r="H176" i="7"/>
  <c r="I153" i="2" s="1"/>
  <c r="H178" i="7"/>
  <c r="H179" i="7"/>
  <c r="H180" i="7"/>
  <c r="H181" i="7"/>
  <c r="H182" i="7"/>
  <c r="H183" i="7"/>
  <c r="H184" i="7"/>
  <c r="H186" i="7"/>
  <c r="H187" i="7"/>
  <c r="H188" i="7"/>
  <c r="H189" i="7"/>
  <c r="H190" i="7"/>
  <c r="H191" i="7"/>
  <c r="H192" i="7"/>
  <c r="H193" i="7"/>
  <c r="H194" i="7"/>
  <c r="H195" i="7"/>
  <c r="H196" i="7"/>
  <c r="H197" i="7"/>
  <c r="H198" i="7"/>
  <c r="H199" i="7"/>
  <c r="H200" i="7"/>
  <c r="H201" i="7"/>
  <c r="H202" i="7"/>
  <c r="H203" i="7"/>
  <c r="H204" i="7"/>
  <c r="H205" i="7"/>
  <c r="H206" i="7"/>
  <c r="H207" i="7"/>
  <c r="H208" i="7"/>
  <c r="H209" i="7"/>
  <c r="H210" i="7"/>
  <c r="H211" i="7"/>
  <c r="H212" i="7"/>
  <c r="H213" i="7"/>
  <c r="H214" i="7"/>
  <c r="H215" i="7"/>
  <c r="H216" i="7"/>
  <c r="H217" i="7"/>
  <c r="H218" i="7"/>
  <c r="H219" i="7"/>
  <c r="H220" i="7"/>
  <c r="H221" i="7"/>
  <c r="H222" i="7"/>
  <c r="H223" i="7"/>
  <c r="H224" i="7"/>
  <c r="H225" i="7"/>
  <c r="H226" i="7"/>
  <c r="H227" i="7"/>
  <c r="H228" i="7"/>
  <c r="H229" i="7"/>
  <c r="H230" i="7"/>
  <c r="H231" i="7"/>
  <c r="H232" i="7"/>
  <c r="H233" i="7"/>
  <c r="H234" i="7"/>
  <c r="H235" i="7"/>
  <c r="H236" i="7"/>
  <c r="H237" i="7"/>
  <c r="H238" i="7"/>
  <c r="H239" i="7"/>
  <c r="H240" i="7"/>
  <c r="H241" i="7"/>
  <c r="H242" i="7"/>
  <c r="H243" i="7"/>
  <c r="H244" i="7"/>
  <c r="H245" i="7"/>
  <c r="H246" i="7"/>
  <c r="H247" i="7"/>
  <c r="H248" i="7"/>
  <c r="H249" i="7"/>
  <c r="H250" i="7"/>
  <c r="H251" i="7"/>
  <c r="H252" i="7"/>
  <c r="H253" i="7"/>
  <c r="H254" i="7"/>
  <c r="H255" i="7"/>
  <c r="H256" i="7"/>
  <c r="H257" i="7"/>
  <c r="H258" i="7"/>
  <c r="H259" i="7"/>
  <c r="H260" i="7"/>
  <c r="H261" i="7"/>
  <c r="H262" i="7"/>
  <c r="H263" i="7"/>
  <c r="H264" i="7"/>
  <c r="H265" i="7"/>
  <c r="H266" i="7"/>
  <c r="H267" i="7"/>
  <c r="H268" i="7"/>
  <c r="H269" i="7"/>
  <c r="H270" i="7"/>
  <c r="H271" i="7"/>
  <c r="H272" i="7"/>
  <c r="H273" i="7"/>
  <c r="H274" i="7"/>
  <c r="H275" i="7"/>
  <c r="H276" i="7"/>
  <c r="H277" i="7"/>
  <c r="I243" i="2" s="1"/>
  <c r="H278" i="7"/>
  <c r="H279" i="7"/>
  <c r="H280" i="7"/>
  <c r="H281" i="7"/>
  <c r="H282" i="7"/>
  <c r="H283" i="7"/>
  <c r="H284" i="7"/>
  <c r="H285" i="7"/>
  <c r="H286" i="7"/>
  <c r="H287" i="7"/>
  <c r="H288" i="7"/>
  <c r="H289" i="7"/>
  <c r="H290" i="7"/>
  <c r="H291" i="7"/>
  <c r="H292" i="7"/>
  <c r="H293" i="7"/>
  <c r="H294" i="7"/>
  <c r="H295" i="7"/>
  <c r="H296" i="7"/>
  <c r="H297" i="7"/>
  <c r="H298" i="7"/>
  <c r="H299" i="7"/>
  <c r="H300" i="7"/>
  <c r="H301" i="7"/>
  <c r="H302" i="7"/>
  <c r="H303" i="7"/>
  <c r="H304" i="7"/>
  <c r="H305" i="7"/>
  <c r="H306" i="7"/>
  <c r="H307" i="7"/>
  <c r="H308" i="7"/>
  <c r="H309" i="7"/>
  <c r="H310" i="7"/>
  <c r="H311" i="7"/>
  <c r="H312" i="7"/>
  <c r="H313" i="7"/>
  <c r="H314" i="7"/>
  <c r="H315" i="7"/>
  <c r="H316" i="7"/>
  <c r="H317" i="7"/>
  <c r="H318" i="7"/>
  <c r="H319" i="7"/>
  <c r="H320" i="7"/>
  <c r="H321" i="7"/>
  <c r="H322" i="7"/>
  <c r="H323" i="7"/>
  <c r="H324" i="7"/>
  <c r="H325" i="7"/>
  <c r="H326" i="7"/>
  <c r="H327" i="7"/>
  <c r="H328" i="7"/>
  <c r="H329" i="7"/>
  <c r="H330" i="7"/>
  <c r="H331" i="7"/>
  <c r="H332" i="7"/>
  <c r="H333" i="7"/>
  <c r="H334" i="7"/>
  <c r="H335" i="7"/>
  <c r="H336" i="7"/>
  <c r="H337" i="7"/>
  <c r="H338" i="7"/>
  <c r="H339" i="7"/>
  <c r="H340" i="7"/>
  <c r="H341" i="7"/>
  <c r="H342" i="7"/>
  <c r="H343" i="7"/>
  <c r="H344" i="7"/>
  <c r="H345" i="7"/>
  <c r="H346" i="7"/>
  <c r="H347" i="7"/>
  <c r="H348" i="7"/>
  <c r="H349" i="7"/>
  <c r="H350" i="7"/>
  <c r="H351" i="7"/>
  <c r="H352" i="7"/>
  <c r="H353" i="7"/>
  <c r="H354" i="7"/>
  <c r="H355" i="7"/>
  <c r="H356" i="7"/>
  <c r="H357" i="7"/>
  <c r="H358" i="7"/>
  <c r="H359" i="7"/>
  <c r="H360" i="7"/>
  <c r="H361" i="7"/>
  <c r="H362" i="7"/>
  <c r="H363" i="7"/>
  <c r="H364" i="7"/>
  <c r="H365" i="7"/>
  <c r="H366" i="7"/>
  <c r="H367" i="7"/>
  <c r="H368" i="7"/>
  <c r="H369" i="7"/>
  <c r="H370" i="7"/>
  <c r="H371" i="7"/>
  <c r="H372" i="7"/>
  <c r="H373" i="7"/>
  <c r="H374" i="7"/>
  <c r="H375" i="7"/>
  <c r="H376" i="7"/>
  <c r="H377" i="7"/>
  <c r="H378" i="7"/>
  <c r="H379" i="7"/>
  <c r="H380" i="7"/>
  <c r="H381" i="7"/>
  <c r="H382" i="7"/>
  <c r="H383" i="7"/>
  <c r="H384" i="7"/>
  <c r="H385" i="7"/>
  <c r="H386" i="7"/>
  <c r="H387" i="7"/>
  <c r="H388" i="7"/>
  <c r="H389" i="7"/>
  <c r="H390" i="7"/>
  <c r="H391" i="7"/>
  <c r="H392" i="7"/>
  <c r="H393" i="7"/>
  <c r="H394" i="7"/>
  <c r="H395" i="7"/>
  <c r="H396" i="7"/>
  <c r="H397" i="7"/>
  <c r="H398" i="7"/>
  <c r="H399" i="7"/>
  <c r="H400" i="7"/>
  <c r="H401" i="7"/>
  <c r="H402" i="7"/>
  <c r="H403" i="7"/>
  <c r="H404" i="7"/>
  <c r="H405" i="7"/>
  <c r="H406" i="7"/>
  <c r="H407" i="7"/>
  <c r="H408" i="7"/>
  <c r="H409" i="7"/>
  <c r="H410" i="7"/>
  <c r="H411" i="7"/>
  <c r="H412" i="7"/>
  <c r="H413" i="7"/>
  <c r="H414" i="7"/>
  <c r="H415" i="7"/>
  <c r="H416" i="7"/>
  <c r="H417" i="7"/>
  <c r="H418" i="7"/>
  <c r="H419" i="7"/>
  <c r="H420" i="7"/>
  <c r="I348" i="2" s="1"/>
  <c r="H421" i="7"/>
  <c r="H422" i="7"/>
  <c r="H423" i="7"/>
  <c r="H424" i="7"/>
  <c r="H425" i="7"/>
  <c r="H426" i="7"/>
  <c r="H427" i="7"/>
  <c r="H428" i="7"/>
  <c r="H429" i="7"/>
  <c r="H430" i="7"/>
  <c r="H431" i="7"/>
  <c r="H432" i="7"/>
  <c r="H433" i="7"/>
  <c r="H434" i="7"/>
  <c r="H435" i="7"/>
  <c r="H436" i="7"/>
  <c r="H437" i="7"/>
  <c r="H438" i="7"/>
  <c r="H439" i="7"/>
  <c r="H440" i="7"/>
  <c r="H441" i="7"/>
  <c r="H442" i="7"/>
  <c r="H443" i="7"/>
  <c r="H444" i="7"/>
  <c r="H445" i="7"/>
  <c r="H446" i="7"/>
  <c r="H447" i="7"/>
  <c r="H448" i="7"/>
  <c r="H449" i="7"/>
  <c r="H450" i="7"/>
  <c r="H451" i="7"/>
  <c r="H452" i="7"/>
  <c r="H453" i="7"/>
  <c r="H454" i="7"/>
  <c r="I389" i="2" s="1"/>
  <c r="H455" i="7"/>
  <c r="H456" i="7"/>
  <c r="H457" i="7"/>
  <c r="H458" i="7"/>
  <c r="H459" i="7"/>
  <c r="H460" i="7"/>
  <c r="H461" i="7"/>
  <c r="H462" i="7"/>
  <c r="H463" i="7"/>
  <c r="H464" i="7"/>
  <c r="H465" i="7"/>
  <c r="H466" i="7"/>
  <c r="H467" i="7"/>
  <c r="H468" i="7"/>
  <c r="H469" i="7"/>
  <c r="H470" i="7"/>
  <c r="H471" i="7"/>
  <c r="H472" i="7"/>
  <c r="H473" i="7"/>
  <c r="H474" i="7"/>
  <c r="H475" i="7"/>
  <c r="H476" i="7"/>
  <c r="H477" i="7"/>
  <c r="H478" i="7"/>
  <c r="H479" i="7"/>
  <c r="H480" i="7"/>
  <c r="H481" i="7"/>
  <c r="H482" i="7"/>
  <c r="H483" i="7"/>
  <c r="H484" i="7"/>
  <c r="H485" i="7"/>
  <c r="H486" i="7"/>
  <c r="H487" i="7"/>
  <c r="H488" i="7"/>
  <c r="H489" i="7"/>
  <c r="H490" i="7"/>
  <c r="H491" i="7"/>
  <c r="H492" i="7"/>
  <c r="H493" i="7"/>
  <c r="H494" i="7"/>
  <c r="H495" i="7"/>
  <c r="H496" i="7"/>
  <c r="H497" i="7"/>
  <c r="H498" i="7"/>
  <c r="H499" i="7"/>
  <c r="H500" i="7"/>
  <c r="H501" i="7"/>
  <c r="H502" i="7"/>
  <c r="H503" i="7"/>
  <c r="H504" i="7"/>
  <c r="H505" i="7"/>
  <c r="H506" i="7"/>
  <c r="H507" i="7"/>
  <c r="H508" i="7"/>
  <c r="H509" i="7"/>
  <c r="H510" i="7"/>
  <c r="H511" i="7"/>
  <c r="H512" i="7"/>
  <c r="H513" i="7"/>
  <c r="H514" i="7"/>
  <c r="H515" i="7"/>
  <c r="H516" i="7"/>
  <c r="H517" i="7"/>
  <c r="H518" i="7"/>
  <c r="H519" i="7"/>
  <c r="H520" i="7"/>
  <c r="H521" i="7"/>
  <c r="H522" i="7"/>
  <c r="H523" i="7"/>
  <c r="H524" i="7"/>
  <c r="H525" i="7"/>
  <c r="H526" i="7"/>
  <c r="H527" i="7"/>
  <c r="H528" i="7"/>
  <c r="H529" i="7"/>
  <c r="H530" i="7"/>
  <c r="H531" i="7"/>
  <c r="H532" i="7"/>
  <c r="H533" i="7"/>
  <c r="H534" i="7"/>
  <c r="H535" i="7"/>
  <c r="H536" i="7"/>
  <c r="H9" i="7"/>
  <c r="I138" i="2" l="1"/>
  <c r="I55" i="2"/>
  <c r="I164" i="7"/>
  <c r="E177" i="7"/>
  <c r="H177" i="7" s="1"/>
  <c r="K185" i="7" l="1"/>
  <c r="G67" i="7"/>
  <c r="H67" i="7" s="1"/>
  <c r="G53" i="7"/>
  <c r="H53" i="7" s="1"/>
  <c r="I441" i="2" l="1"/>
  <c r="I430" i="2"/>
  <c r="I409" i="2"/>
  <c r="I204" i="2"/>
  <c r="I169" i="2"/>
  <c r="I408" i="2" l="1"/>
  <c r="I410" i="2"/>
  <c r="I420" i="2"/>
  <c r="I424" i="2"/>
  <c r="I431" i="2"/>
  <c r="I435" i="2"/>
  <c r="I451" i="2"/>
  <c r="I454" i="2"/>
  <c r="I360" i="2"/>
  <c r="I363" i="2"/>
  <c r="I373" i="2"/>
  <c r="I321" i="2"/>
  <c r="I325" i="2"/>
  <c r="I311" i="2"/>
  <c r="I312" i="2"/>
  <c r="I261" i="2"/>
  <c r="I265" i="2"/>
  <c r="I306" i="2"/>
  <c r="I307" i="2"/>
  <c r="I309" i="2"/>
  <c r="I310" i="2"/>
  <c r="I276" i="2"/>
  <c r="I279" i="2"/>
  <c r="I280" i="2"/>
  <c r="I284" i="2"/>
  <c r="I285" i="2"/>
  <c r="I286" i="2"/>
  <c r="I287" i="2"/>
  <c r="I288" i="2"/>
  <c r="I289" i="2"/>
  <c r="I290" i="2"/>
  <c r="I249" i="2"/>
  <c r="I254" i="2"/>
  <c r="I270" i="2"/>
  <c r="I221" i="2"/>
  <c r="I222" i="2"/>
  <c r="I223" i="2"/>
  <c r="I224" i="2"/>
  <c r="I225" i="2"/>
  <c r="I226" i="2"/>
  <c r="I231" i="2"/>
  <c r="I232" i="2"/>
  <c r="I233" i="2"/>
  <c r="I234" i="2"/>
  <c r="I235" i="2"/>
  <c r="I242" i="2"/>
  <c r="I244" i="2"/>
  <c r="I213" i="2"/>
  <c r="I217" i="2"/>
  <c r="I195" i="2"/>
  <c r="I202" i="2"/>
  <c r="I206" i="2"/>
  <c r="I177" i="2"/>
  <c r="I186" i="2"/>
  <c r="I187" i="2"/>
  <c r="I190" i="2"/>
  <c r="I191" i="2"/>
  <c r="I150" i="2"/>
  <c r="I151" i="2"/>
  <c r="I157" i="2"/>
  <c r="I158" i="2"/>
  <c r="I159" i="2"/>
  <c r="I160" i="2"/>
  <c r="I163" i="2"/>
  <c r="I164" i="2"/>
  <c r="I165" i="2"/>
  <c r="I166" i="2"/>
  <c r="I167" i="2"/>
  <c r="I168" i="2"/>
  <c r="I125" i="2"/>
  <c r="I126" i="2"/>
  <c r="I127" i="2"/>
  <c r="I128" i="2"/>
  <c r="I133" i="2"/>
  <c r="I136" i="2"/>
  <c r="I137" i="2"/>
  <c r="I145" i="2"/>
  <c r="I107" i="2"/>
  <c r="I108" i="2"/>
  <c r="I111" i="2"/>
  <c r="I115" i="2"/>
  <c r="I116" i="2"/>
  <c r="I117" i="2"/>
  <c r="I118" i="2"/>
  <c r="I119" i="2"/>
  <c r="I123" i="2"/>
  <c r="I124" i="2"/>
  <c r="O125" i="2" s="1"/>
  <c r="I70" i="2"/>
  <c r="I71" i="2"/>
  <c r="I80" i="2"/>
  <c r="I81" i="2"/>
  <c r="I91" i="2"/>
  <c r="I359" i="2" l="1"/>
  <c r="I161" i="2"/>
  <c r="J38" i="2" l="1"/>
  <c r="G405" i="2"/>
  <c r="H405" i="2"/>
  <c r="H469" i="2" s="1"/>
  <c r="J455" i="2"/>
  <c r="J473" i="2" s="1"/>
  <c r="H455" i="2"/>
  <c r="H473" i="2" s="1"/>
  <c r="G446" i="2"/>
  <c r="H446" i="2"/>
  <c r="G432" i="2"/>
  <c r="H432" i="2"/>
  <c r="H411" i="2"/>
  <c r="H396" i="2"/>
  <c r="G390" i="2"/>
  <c r="H390" i="2"/>
  <c r="G396" i="2"/>
  <c r="H465" i="2"/>
  <c r="K473" i="2" l="1"/>
  <c r="K38" i="2"/>
  <c r="J42" i="2"/>
  <c r="K42" i="2" s="1"/>
  <c r="H448" i="2"/>
  <c r="H457" i="2" s="1"/>
  <c r="H413" i="2"/>
  <c r="G448" i="2"/>
  <c r="G398" i="2"/>
  <c r="H398" i="2"/>
  <c r="I361" i="2" l="1"/>
  <c r="I314" i="2"/>
  <c r="I301" i="2"/>
  <c r="I264" i="2"/>
  <c r="I260" i="2"/>
  <c r="I259" i="2"/>
  <c r="I240" i="2"/>
  <c r="I245" i="2" s="1"/>
  <c r="I215" i="2"/>
  <c r="I201" i="2"/>
  <c r="I149" i="2"/>
  <c r="I97" i="2"/>
  <c r="I100" i="2"/>
  <c r="I98" i="2"/>
  <c r="I95" i="2"/>
  <c r="I262" i="2" l="1"/>
  <c r="I455" i="2"/>
  <c r="I404" i="2"/>
  <c r="I394" i="2"/>
  <c r="I396" i="2" s="1"/>
  <c r="I390" i="2"/>
  <c r="K389" i="2"/>
  <c r="K390" i="2" s="1"/>
  <c r="J390" i="2"/>
  <c r="N390" i="2"/>
  <c r="L391" i="2"/>
  <c r="M391" i="2"/>
  <c r="K392" i="2"/>
  <c r="L392" i="2"/>
  <c r="M392" i="2"/>
  <c r="K393" i="2"/>
  <c r="K394" i="2"/>
  <c r="K395" i="2"/>
  <c r="J396" i="2"/>
  <c r="L396" i="2"/>
  <c r="M396" i="2"/>
  <c r="N396" i="2"/>
  <c r="K402" i="2"/>
  <c r="K403" i="2"/>
  <c r="K404" i="2"/>
  <c r="K405" i="2" s="1"/>
  <c r="L404" i="2"/>
  <c r="L405" i="2" s="1"/>
  <c r="M404" i="2"/>
  <c r="M419" i="2" s="1"/>
  <c r="M432" i="2" s="1"/>
  <c r="J405" i="2"/>
  <c r="N405" i="2"/>
  <c r="K409" i="2"/>
  <c r="K410" i="2"/>
  <c r="J411" i="2"/>
  <c r="L411" i="2"/>
  <c r="M411" i="2"/>
  <c r="N411" i="2"/>
  <c r="K419" i="2"/>
  <c r="K421" i="2"/>
  <c r="K422" i="2"/>
  <c r="K424" i="2"/>
  <c r="L424" i="2"/>
  <c r="M424" i="2"/>
  <c r="K425" i="2"/>
  <c r="K427" i="2"/>
  <c r="K428" i="2"/>
  <c r="L428" i="2"/>
  <c r="K429" i="2"/>
  <c r="K430" i="2"/>
  <c r="K431" i="2"/>
  <c r="J432" i="2"/>
  <c r="N432" i="2"/>
  <c r="M438" i="2"/>
  <c r="L444" i="2"/>
  <c r="M444" i="2"/>
  <c r="L445" i="2"/>
  <c r="M445" i="2"/>
  <c r="I405" i="2" l="1"/>
  <c r="I446" i="2"/>
  <c r="I432" i="2"/>
  <c r="L438" i="2"/>
  <c r="M405" i="2"/>
  <c r="M413" i="2" s="1"/>
  <c r="L413" i="2"/>
  <c r="I473" i="2"/>
  <c r="L419" i="2"/>
  <c r="N413" i="2"/>
  <c r="M428" i="2"/>
  <c r="K432" i="2"/>
  <c r="I411" i="2"/>
  <c r="K396" i="2"/>
  <c r="K411" i="2"/>
  <c r="K413" i="2" s="1"/>
  <c r="J413" i="2"/>
  <c r="G469" i="2"/>
  <c r="G411" i="2"/>
  <c r="G413" i="2" s="1"/>
  <c r="G454" i="2"/>
  <c r="G88" i="2"/>
  <c r="G379" i="2" s="1"/>
  <c r="G12" i="2"/>
  <c r="G31" i="2"/>
  <c r="I413" i="2" l="1"/>
  <c r="G455" i="2"/>
  <c r="G457" i="2" s="1"/>
  <c r="L432" i="2"/>
  <c r="J197" i="2"/>
  <c r="G473" i="2" l="1"/>
  <c r="L68" i="2"/>
  <c r="M68" i="2"/>
  <c r="G16" i="2"/>
  <c r="G42" i="2" l="1"/>
  <c r="G381" i="2" s="1"/>
  <c r="I465" i="2"/>
  <c r="J120" i="2" l="1"/>
  <c r="H120" i="2"/>
  <c r="K107" i="2"/>
  <c r="L107" i="2"/>
  <c r="M107" i="2"/>
  <c r="I120" i="2" l="1"/>
  <c r="K123" i="2" l="1"/>
  <c r="J122" i="2"/>
  <c r="H72" i="2" l="1"/>
  <c r="J72" i="2"/>
  <c r="I72" i="2"/>
  <c r="K244" i="2"/>
  <c r="K243" i="2"/>
  <c r="K242" i="2"/>
  <c r="K226" i="2"/>
  <c r="K225" i="2"/>
  <c r="K222" i="2"/>
  <c r="K221" i="2"/>
  <c r="K91" i="2" l="1"/>
  <c r="H197" i="2"/>
  <c r="K195" i="2"/>
  <c r="H281" i="2"/>
  <c r="K270" i="2"/>
  <c r="K271" i="2"/>
  <c r="K359" i="2" l="1"/>
  <c r="K357" i="2"/>
  <c r="K358" i="2"/>
  <c r="H255" i="2" l="1"/>
  <c r="H250" i="2"/>
  <c r="H245" i="2"/>
  <c r="H236" i="2"/>
  <c r="H227" i="2"/>
  <c r="H218" i="2"/>
  <c r="H208" i="2" l="1"/>
  <c r="H192" i="2"/>
  <c r="H183" i="2"/>
  <c r="H178" i="2"/>
  <c r="H174" i="2"/>
  <c r="H170" i="2"/>
  <c r="H154" i="2"/>
  <c r="H103" i="2"/>
  <c r="H88" i="2"/>
  <c r="H82" i="2"/>
  <c r="H66" i="2"/>
  <c r="H61" i="2"/>
  <c r="H47" i="2"/>
  <c r="H379" i="2" l="1"/>
  <c r="H466" i="2" s="1"/>
  <c r="J47" i="2"/>
  <c r="H381" i="2" l="1"/>
  <c r="K125" i="2"/>
  <c r="L42" i="2" l="1"/>
  <c r="N42" i="2"/>
  <c r="J386" i="2" l="1"/>
  <c r="J398" i="2" s="1"/>
  <c r="J374" i="2"/>
  <c r="I448" i="2"/>
  <c r="I457" i="2" s="1"/>
  <c r="J103" i="2" l="1"/>
  <c r="K259" i="2" l="1"/>
  <c r="J273" i="2"/>
  <c r="N174" i="2" l="1"/>
  <c r="L174" i="2"/>
  <c r="K173" i="2"/>
  <c r="K174" i="2" s="1"/>
  <c r="M172" i="2"/>
  <c r="L172" i="2"/>
  <c r="M171" i="2"/>
  <c r="L171" i="2"/>
  <c r="N56" i="2" l="1"/>
  <c r="M56" i="2"/>
  <c r="L56" i="2"/>
  <c r="J56" i="2"/>
  <c r="I56" i="2"/>
  <c r="K55" i="2"/>
  <c r="K54" i="2"/>
  <c r="K56" i="2" l="1"/>
  <c r="J321" i="2"/>
  <c r="K321" i="2" l="1"/>
  <c r="J327" i="2"/>
  <c r="N51" i="2"/>
  <c r="M51" i="2"/>
  <c r="L51" i="2"/>
  <c r="J51" i="2"/>
  <c r="I51" i="2"/>
  <c r="K50" i="2"/>
  <c r="K49" i="2"/>
  <c r="K51" i="2" l="1"/>
  <c r="H472" i="2" l="1"/>
  <c r="H470" i="2"/>
  <c r="H467" i="2"/>
  <c r="G472" i="2"/>
  <c r="G470" i="2"/>
  <c r="G467" i="2"/>
  <c r="G466" i="2"/>
  <c r="K12" i="2" l="1"/>
  <c r="M19" i="2"/>
  <c r="M42" i="2" s="1"/>
  <c r="M25" i="2"/>
  <c r="M26" i="2"/>
  <c r="M27" i="2"/>
  <c r="M28" i="2"/>
  <c r="M34" i="2"/>
  <c r="M38" i="2"/>
  <c r="M40" i="2" s="1"/>
  <c r="K46" i="2"/>
  <c r="K47" i="2" s="1"/>
  <c r="I47" i="2"/>
  <c r="L47" i="2"/>
  <c r="M47" i="2"/>
  <c r="N47" i="2"/>
  <c r="K59" i="2"/>
  <c r="L59" i="2"/>
  <c r="L61" i="2" s="1"/>
  <c r="M59" i="2"/>
  <c r="M76" i="2" s="1"/>
  <c r="K60" i="2"/>
  <c r="I61" i="2"/>
  <c r="J61" i="2"/>
  <c r="N61" i="2"/>
  <c r="L63" i="2"/>
  <c r="M63" i="2"/>
  <c r="K64" i="2"/>
  <c r="L64" i="2"/>
  <c r="L66" i="2" s="1"/>
  <c r="M64" i="2"/>
  <c r="M66" i="2" s="1"/>
  <c r="K65" i="2"/>
  <c r="I66" i="2"/>
  <c r="J66" i="2"/>
  <c r="N66" i="2"/>
  <c r="L67" i="2"/>
  <c r="M67" i="2"/>
  <c r="K69" i="2"/>
  <c r="K71" i="2"/>
  <c r="K72" i="2" s="1"/>
  <c r="L72" i="2"/>
  <c r="M72" i="2"/>
  <c r="N72" i="2"/>
  <c r="L74" i="2"/>
  <c r="M74" i="2"/>
  <c r="K75" i="2"/>
  <c r="L75" i="2"/>
  <c r="M75" i="2"/>
  <c r="M77" i="2" s="1"/>
  <c r="K76" i="2"/>
  <c r="I77" i="2"/>
  <c r="J77" i="2"/>
  <c r="N77" i="2"/>
  <c r="K80" i="2"/>
  <c r="K81" i="2"/>
  <c r="I82" i="2"/>
  <c r="J82" i="2"/>
  <c r="L82" i="2"/>
  <c r="M82" i="2"/>
  <c r="N82" i="2"/>
  <c r="K85" i="2"/>
  <c r="K86" i="2"/>
  <c r="K87" i="2"/>
  <c r="I88" i="2"/>
  <c r="J88" i="2"/>
  <c r="L88" i="2"/>
  <c r="M88" i="2"/>
  <c r="N88" i="2"/>
  <c r="I92" i="2"/>
  <c r="L92" i="2"/>
  <c r="M92" i="2"/>
  <c r="N92" i="2"/>
  <c r="K97" i="2"/>
  <c r="K98" i="2"/>
  <c r="K99" i="2"/>
  <c r="K100" i="2"/>
  <c r="K101" i="2"/>
  <c r="K102" i="2"/>
  <c r="I103" i="2"/>
  <c r="L103" i="2"/>
  <c r="M103" i="2"/>
  <c r="N103" i="2"/>
  <c r="K108" i="2"/>
  <c r="L108" i="2"/>
  <c r="M108" i="2"/>
  <c r="K109" i="2"/>
  <c r="K110" i="2"/>
  <c r="K111" i="2"/>
  <c r="K112" i="2"/>
  <c r="K113" i="2"/>
  <c r="K114" i="2"/>
  <c r="L114" i="2"/>
  <c r="K115" i="2"/>
  <c r="K116" i="2"/>
  <c r="K117" i="2"/>
  <c r="K118" i="2"/>
  <c r="L118" i="2"/>
  <c r="M118" i="2"/>
  <c r="K119" i="2"/>
  <c r="L119" i="2"/>
  <c r="M119" i="2"/>
  <c r="N120" i="2"/>
  <c r="I121" i="2"/>
  <c r="L122" i="2"/>
  <c r="M122" i="2"/>
  <c r="K124" i="2"/>
  <c r="K126" i="2"/>
  <c r="K127" i="2"/>
  <c r="K128" i="2"/>
  <c r="K129" i="2"/>
  <c r="K131" i="2"/>
  <c r="K132" i="2"/>
  <c r="K133" i="2"/>
  <c r="K134" i="2"/>
  <c r="K135" i="2"/>
  <c r="K136" i="2"/>
  <c r="K137" i="2"/>
  <c r="K138" i="2"/>
  <c r="I142" i="2"/>
  <c r="L142" i="2"/>
  <c r="M142" i="2"/>
  <c r="N142" i="2"/>
  <c r="K145" i="2"/>
  <c r="K146" i="2"/>
  <c r="L146" i="2"/>
  <c r="M146" i="2"/>
  <c r="K147" i="2"/>
  <c r="K148" i="2"/>
  <c r="K149" i="2"/>
  <c r="K150" i="2"/>
  <c r="K151" i="2"/>
  <c r="K152" i="2"/>
  <c r="L152" i="2"/>
  <c r="M152" i="2"/>
  <c r="K153" i="2"/>
  <c r="L153" i="2"/>
  <c r="M153" i="2"/>
  <c r="I154" i="2"/>
  <c r="N154" i="2"/>
  <c r="L155" i="2"/>
  <c r="M155" i="2"/>
  <c r="K158" i="2"/>
  <c r="K159" i="2"/>
  <c r="K160" i="2"/>
  <c r="K161" i="2"/>
  <c r="K162" i="2"/>
  <c r="L162" i="2"/>
  <c r="M162" i="2"/>
  <c r="K163" i="2"/>
  <c r="L163" i="2"/>
  <c r="M163" i="2"/>
  <c r="K164" i="2"/>
  <c r="L164" i="2"/>
  <c r="M164" i="2"/>
  <c r="K165" i="2"/>
  <c r="K166" i="2"/>
  <c r="M166" i="2"/>
  <c r="K167" i="2"/>
  <c r="L167" i="2"/>
  <c r="M167" i="2"/>
  <c r="K168" i="2"/>
  <c r="L168" i="2"/>
  <c r="M168" i="2"/>
  <c r="K169" i="2"/>
  <c r="I170" i="2"/>
  <c r="N170" i="2"/>
  <c r="L175" i="2"/>
  <c r="M175" i="2"/>
  <c r="K176" i="2"/>
  <c r="K177" i="2"/>
  <c r="I178" i="2"/>
  <c r="J178" i="2"/>
  <c r="L178" i="2"/>
  <c r="N178" i="2"/>
  <c r="K181" i="2"/>
  <c r="K182" i="2"/>
  <c r="I183" i="2"/>
  <c r="J183" i="2"/>
  <c r="L183" i="2"/>
  <c r="M183" i="2"/>
  <c r="N183" i="2"/>
  <c r="L185" i="2"/>
  <c r="M185" i="2"/>
  <c r="K186" i="2"/>
  <c r="K188" i="2"/>
  <c r="K189" i="2"/>
  <c r="L189" i="2"/>
  <c r="M189" i="2"/>
  <c r="K190" i="2"/>
  <c r="L190" i="2"/>
  <c r="M190" i="2"/>
  <c r="K191" i="2"/>
  <c r="L191" i="2"/>
  <c r="M191" i="2"/>
  <c r="I192" i="2"/>
  <c r="M192" i="2"/>
  <c r="N192" i="2"/>
  <c r="K197" i="2"/>
  <c r="I197" i="2"/>
  <c r="L197" i="2"/>
  <c r="M197" i="2"/>
  <c r="N197" i="2"/>
  <c r="L198" i="2"/>
  <c r="M198" i="2"/>
  <c r="M200" i="2" s="1"/>
  <c r="K201" i="2"/>
  <c r="K202" i="2"/>
  <c r="K203" i="2"/>
  <c r="L204" i="2"/>
  <c r="M204" i="2"/>
  <c r="K205" i="2"/>
  <c r="L205" i="2"/>
  <c r="M205" i="2"/>
  <c r="K206" i="2"/>
  <c r="L206" i="2"/>
  <c r="M206" i="2"/>
  <c r="I208" i="2"/>
  <c r="J208" i="2"/>
  <c r="N208" i="2"/>
  <c r="L211" i="2"/>
  <c r="M211" i="2"/>
  <c r="K212" i="2"/>
  <c r="L212" i="2"/>
  <c r="M212" i="2"/>
  <c r="M218" i="2" s="1"/>
  <c r="K213" i="2"/>
  <c r="L213" i="2"/>
  <c r="M213" i="2"/>
  <c r="K214" i="2"/>
  <c r="L214" i="2"/>
  <c r="M214" i="2"/>
  <c r="K215" i="2"/>
  <c r="L215" i="2"/>
  <c r="M215" i="2"/>
  <c r="K216" i="2"/>
  <c r="L216" i="2"/>
  <c r="K217" i="2"/>
  <c r="I218" i="2"/>
  <c r="J218" i="2"/>
  <c r="N218" i="2"/>
  <c r="L222" i="2"/>
  <c r="M222" i="2"/>
  <c r="M227" i="2" s="1"/>
  <c r="K223" i="2"/>
  <c r="L223" i="2"/>
  <c r="M223" i="2"/>
  <c r="K224" i="2"/>
  <c r="L224" i="2"/>
  <c r="M224" i="2"/>
  <c r="L225" i="2"/>
  <c r="M225" i="2"/>
  <c r="L226" i="2"/>
  <c r="M226" i="2"/>
  <c r="I227" i="2"/>
  <c r="J227" i="2"/>
  <c r="N227" i="2"/>
  <c r="L229" i="2"/>
  <c r="M229" i="2"/>
  <c r="L230" i="2"/>
  <c r="M230" i="2"/>
  <c r="M236" i="2" s="1"/>
  <c r="K231" i="2"/>
  <c r="L231" i="2"/>
  <c r="M231" i="2"/>
  <c r="K232" i="2"/>
  <c r="L232" i="2"/>
  <c r="M232" i="2"/>
  <c r="K233" i="2"/>
  <c r="M233" i="2"/>
  <c r="K234" i="2"/>
  <c r="K235" i="2"/>
  <c r="I236" i="2"/>
  <c r="J236" i="2"/>
  <c r="N236" i="2"/>
  <c r="L238" i="2"/>
  <c r="M238" i="2"/>
  <c r="L239" i="2"/>
  <c r="M239" i="2"/>
  <c r="M245" i="2" s="1"/>
  <c r="K240" i="2"/>
  <c r="L240" i="2"/>
  <c r="M240" i="2"/>
  <c r="K241" i="2"/>
  <c r="L241" i="2"/>
  <c r="M241" i="2"/>
  <c r="L243" i="2"/>
  <c r="M243" i="2"/>
  <c r="L244" i="2"/>
  <c r="J245" i="2"/>
  <c r="N245" i="2"/>
  <c r="L248" i="2"/>
  <c r="M248" i="2"/>
  <c r="K249" i="2"/>
  <c r="K250" i="2" s="1"/>
  <c r="L249" i="2"/>
  <c r="L250" i="2" s="1"/>
  <c r="M249" i="2"/>
  <c r="M250" i="2" s="1"/>
  <c r="I250" i="2"/>
  <c r="J250" i="2"/>
  <c r="N250" i="2"/>
  <c r="K253" i="2"/>
  <c r="K254" i="2"/>
  <c r="I255" i="2"/>
  <c r="J255" i="2"/>
  <c r="L255" i="2"/>
  <c r="M255" i="2"/>
  <c r="N255" i="2"/>
  <c r="K260" i="2"/>
  <c r="K261" i="2"/>
  <c r="J262" i="2"/>
  <c r="L262" i="2"/>
  <c r="M262" i="2"/>
  <c r="N262" i="2"/>
  <c r="K264" i="2"/>
  <c r="K265" i="2"/>
  <c r="I266" i="2"/>
  <c r="J266" i="2"/>
  <c r="L266" i="2"/>
  <c r="M266" i="2"/>
  <c r="N266" i="2"/>
  <c r="I273" i="2"/>
  <c r="L273" i="2"/>
  <c r="M273" i="2"/>
  <c r="N273" i="2"/>
  <c r="K276" i="2"/>
  <c r="K277" i="2"/>
  <c r="K278" i="2"/>
  <c r="K279" i="2"/>
  <c r="K280" i="2"/>
  <c r="I281" i="2"/>
  <c r="J281" i="2"/>
  <c r="L281" i="2"/>
  <c r="M281" i="2"/>
  <c r="N281" i="2"/>
  <c r="K284" i="2"/>
  <c r="K285" i="2"/>
  <c r="L285" i="2"/>
  <c r="M285" i="2"/>
  <c r="M291" i="2" s="1"/>
  <c r="K286" i="2"/>
  <c r="K287" i="2"/>
  <c r="L287" i="2"/>
  <c r="M287" i="2"/>
  <c r="K288" i="2"/>
  <c r="K289" i="2"/>
  <c r="K290" i="2"/>
  <c r="I291" i="2"/>
  <c r="J291" i="2"/>
  <c r="N291" i="2"/>
  <c r="K294" i="2"/>
  <c r="L294" i="2"/>
  <c r="M294" i="2"/>
  <c r="M306" i="2" s="1"/>
  <c r="M318" i="2" s="1"/>
  <c r="M321" i="2" s="1"/>
  <c r="M327" i="2" s="1"/>
  <c r="K295" i="2"/>
  <c r="L295" i="2"/>
  <c r="M295" i="2"/>
  <c r="K296" i="2"/>
  <c r="L296" i="2"/>
  <c r="M296" i="2"/>
  <c r="K297" i="2"/>
  <c r="L297" i="2"/>
  <c r="M297" i="2"/>
  <c r="K298" i="2"/>
  <c r="L298" i="2"/>
  <c r="M298" i="2"/>
  <c r="K299" i="2"/>
  <c r="K300" i="2"/>
  <c r="L300" i="2"/>
  <c r="M300" i="2"/>
  <c r="K301" i="2"/>
  <c r="L301" i="2"/>
  <c r="M301" i="2"/>
  <c r="I302" i="2"/>
  <c r="J302" i="2"/>
  <c r="N302" i="2"/>
  <c r="K306" i="2"/>
  <c r="K307" i="2"/>
  <c r="K309" i="2"/>
  <c r="K310" i="2"/>
  <c r="K311" i="2"/>
  <c r="K312" i="2"/>
  <c r="K313" i="2"/>
  <c r="K314" i="2"/>
  <c r="K315" i="2"/>
  <c r="I318" i="2"/>
  <c r="J318" i="2"/>
  <c r="N318" i="2"/>
  <c r="I327" i="2"/>
  <c r="N327" i="2"/>
  <c r="L345" i="2"/>
  <c r="M345" i="2"/>
  <c r="M349" i="2" s="1"/>
  <c r="K346" i="2"/>
  <c r="L346" i="2"/>
  <c r="M346" i="2"/>
  <c r="M352" i="2" s="1"/>
  <c r="K347" i="2"/>
  <c r="L347" i="2"/>
  <c r="M347" i="2"/>
  <c r="K348" i="2"/>
  <c r="L348" i="2"/>
  <c r="M348" i="2"/>
  <c r="K349" i="2"/>
  <c r="K350" i="2"/>
  <c r="K351" i="2"/>
  <c r="I352" i="2"/>
  <c r="J352" i="2"/>
  <c r="N352" i="2"/>
  <c r="L357" i="2"/>
  <c r="L359" i="2" s="1"/>
  <c r="M357" i="2"/>
  <c r="M364" i="2" s="1"/>
  <c r="K360" i="2"/>
  <c r="K361" i="2"/>
  <c r="K362" i="2"/>
  <c r="K363" i="2"/>
  <c r="I364" i="2"/>
  <c r="J364" i="2"/>
  <c r="N364" i="2"/>
  <c r="I365" i="2"/>
  <c r="K368" i="2"/>
  <c r="K369" i="2"/>
  <c r="K370" i="2"/>
  <c r="K371" i="2"/>
  <c r="K372" i="2"/>
  <c r="L372" i="2"/>
  <c r="M372" i="2"/>
  <c r="M374" i="2" s="1"/>
  <c r="K373" i="2"/>
  <c r="L373" i="2"/>
  <c r="M373" i="2"/>
  <c r="I374" i="2"/>
  <c r="N374" i="2"/>
  <c r="L375" i="2"/>
  <c r="M375" i="2"/>
  <c r="K385" i="2"/>
  <c r="K386" i="2" s="1"/>
  <c r="K398" i="2" s="1"/>
  <c r="I386" i="2"/>
  <c r="I398" i="2" s="1"/>
  <c r="L386" i="2"/>
  <c r="M386" i="2"/>
  <c r="N386" i="2"/>
  <c r="N398" i="2" s="1"/>
  <c r="L387" i="2"/>
  <c r="M387" i="2"/>
  <c r="I469" i="2"/>
  <c r="J470" i="2"/>
  <c r="K446" i="2"/>
  <c r="M446" i="2"/>
  <c r="J446" i="2"/>
  <c r="N446" i="2"/>
  <c r="L447" i="2"/>
  <c r="M447" i="2"/>
  <c r="L450" i="2"/>
  <c r="M450" i="2"/>
  <c r="L451" i="2"/>
  <c r="M451" i="2"/>
  <c r="K452" i="2"/>
  <c r="L452" i="2"/>
  <c r="M452" i="2"/>
  <c r="M455" i="2" s="1"/>
  <c r="K453" i="2"/>
  <c r="L453" i="2"/>
  <c r="M453" i="2"/>
  <c r="K454" i="2"/>
  <c r="L454" i="2"/>
  <c r="M454" i="2"/>
  <c r="N455" i="2"/>
  <c r="L463" i="2"/>
  <c r="L465" i="2" s="1"/>
  <c r="M463" i="2"/>
  <c r="M465" i="2" s="1"/>
  <c r="M474" i="2" s="1"/>
  <c r="M469" i="2"/>
  <c r="M470" i="2"/>
  <c r="L471" i="2"/>
  <c r="M471" i="2"/>
  <c r="M472" i="2"/>
  <c r="M473" i="2"/>
  <c r="N474" i="2"/>
  <c r="L475" i="2"/>
  <c r="M475" i="2"/>
  <c r="L476" i="2"/>
  <c r="M476" i="2"/>
  <c r="L470" i="2" l="1"/>
  <c r="K470" i="2"/>
  <c r="I379" i="2"/>
  <c r="I381" i="2" s="1"/>
  <c r="N379" i="2"/>
  <c r="N381" i="2" s="1"/>
  <c r="M389" i="2"/>
  <c r="M390" i="2" s="1"/>
  <c r="M398" i="2" s="1"/>
  <c r="L389" i="2"/>
  <c r="L390" i="2" s="1"/>
  <c r="L398" i="2" s="1"/>
  <c r="K374" i="2"/>
  <c r="K364" i="2"/>
  <c r="K120" i="2"/>
  <c r="M289" i="2"/>
  <c r="M448" i="2"/>
  <c r="M457" i="2" s="1"/>
  <c r="L289" i="2"/>
  <c r="L291" i="2" s="1"/>
  <c r="K327" i="2"/>
  <c r="M302" i="2"/>
  <c r="L200" i="2"/>
  <c r="K273" i="2"/>
  <c r="M173" i="2"/>
  <c r="M174" i="2" s="1"/>
  <c r="L446" i="2"/>
  <c r="M21" i="2"/>
  <c r="M61" i="2"/>
  <c r="J469" i="2"/>
  <c r="M359" i="2"/>
  <c r="J465" i="2"/>
  <c r="K465" i="2" s="1"/>
  <c r="K262" i="2"/>
  <c r="K255" i="2"/>
  <c r="K103" i="2"/>
  <c r="I470" i="2"/>
  <c r="I467" i="2"/>
  <c r="L154" i="2"/>
  <c r="L157" i="2" s="1"/>
  <c r="L111" i="2"/>
  <c r="L120" i="2" s="1"/>
  <c r="I472" i="2"/>
  <c r="L455" i="2"/>
  <c r="N448" i="2"/>
  <c r="N457" i="2" s="1"/>
  <c r="L374" i="2"/>
  <c r="K61" i="2"/>
  <c r="J448" i="2"/>
  <c r="J467" i="2"/>
  <c r="K467" i="2" s="1"/>
  <c r="K302" i="2"/>
  <c r="L208" i="2"/>
  <c r="L217" i="2" s="1"/>
  <c r="L218" i="2" s="1"/>
  <c r="K183" i="2"/>
  <c r="K178" i="2"/>
  <c r="K66" i="2"/>
  <c r="K218" i="2"/>
  <c r="K455" i="2"/>
  <c r="K352" i="2"/>
  <c r="K266" i="2"/>
  <c r="K236" i="2"/>
  <c r="K77" i="2"/>
  <c r="K448" i="2"/>
  <c r="L364" i="2"/>
  <c r="L349" i="2"/>
  <c r="L352" i="2" s="1"/>
  <c r="K291" i="2"/>
  <c r="K245" i="2"/>
  <c r="K227" i="2"/>
  <c r="M208" i="2"/>
  <c r="M217" i="2"/>
  <c r="K208" i="2"/>
  <c r="L192" i="2"/>
  <c r="K170" i="2"/>
  <c r="K154" i="2"/>
  <c r="K130" i="2"/>
  <c r="K142" i="2" s="1"/>
  <c r="J142" i="2"/>
  <c r="K88" i="2"/>
  <c r="L473" i="2"/>
  <c r="K318" i="2"/>
  <c r="L302" i="2"/>
  <c r="L306" i="2" s="1"/>
  <c r="L318" i="2" s="1"/>
  <c r="L321" i="2" s="1"/>
  <c r="L327" i="2" s="1"/>
  <c r="K281" i="2"/>
  <c r="L245" i="2"/>
  <c r="M234" i="2"/>
  <c r="L227" i="2"/>
  <c r="L234" i="2" s="1"/>
  <c r="L236" i="2" s="1"/>
  <c r="K187" i="2"/>
  <c r="K192" i="2" s="1"/>
  <c r="J170" i="2"/>
  <c r="L166" i="2"/>
  <c r="J154" i="2"/>
  <c r="M154" i="2"/>
  <c r="M157" i="2"/>
  <c r="M111" i="2"/>
  <c r="M114" i="2" s="1"/>
  <c r="M120" i="2"/>
  <c r="K92" i="2"/>
  <c r="J92" i="2"/>
  <c r="K82" i="2"/>
  <c r="L76" i="2"/>
  <c r="L77" i="2" s="1"/>
  <c r="D15" i="5"/>
  <c r="D18" i="5"/>
  <c r="D19" i="5"/>
  <c r="D21" i="5"/>
  <c r="D22" i="5"/>
  <c r="D23" i="5"/>
  <c r="D24" i="5"/>
  <c r="D25" i="5"/>
  <c r="D26" i="5"/>
  <c r="D27" i="5"/>
  <c r="D28" i="5"/>
  <c r="D14" i="5"/>
  <c r="D13" i="5"/>
  <c r="D11" i="5"/>
  <c r="L469" i="2" l="1"/>
  <c r="K469" i="2"/>
  <c r="J379" i="2"/>
  <c r="K379" i="2"/>
  <c r="I466" i="2"/>
  <c r="I474" i="2" s="1"/>
  <c r="J472" i="2"/>
  <c r="J457" i="2"/>
  <c r="L170" i="2"/>
  <c r="L379" i="2" s="1"/>
  <c r="L448" i="2"/>
  <c r="L457" i="2" s="1"/>
  <c r="K457" i="2"/>
  <c r="M170" i="2"/>
  <c r="M177" i="2"/>
  <c r="M178" i="2" s="1"/>
  <c r="D17" i="5"/>
  <c r="L472" i="2" l="1"/>
  <c r="L474" i="2" s="1"/>
  <c r="K472" i="2"/>
  <c r="J381" i="2"/>
  <c r="M379" i="2"/>
  <c r="M381" i="2" s="1"/>
  <c r="J466" i="2"/>
  <c r="L381" i="2"/>
  <c r="D20" i="5"/>
  <c r="D16" i="5"/>
  <c r="D12" i="5"/>
  <c r="J474" i="2" l="1"/>
  <c r="K466" i="2"/>
  <c r="D30" i="5"/>
  <c r="H474" i="2" l="1"/>
  <c r="D123" i="5"/>
  <c r="I83" i="5"/>
  <c r="I87" i="5" s="1"/>
  <c r="D117" i="5"/>
  <c r="D38" i="5" l="1"/>
  <c r="D33" i="5" l="1"/>
  <c r="D51" i="5" s="1"/>
  <c r="D35" i="5" l="1"/>
  <c r="D124" i="5" s="1"/>
  <c r="K381" i="2" l="1"/>
  <c r="G465" i="2" l="1"/>
  <c r="G474" i="2" s="1"/>
  <c r="K474" i="2" l="1"/>
  <c r="J187" i="7" l="1"/>
  <c r="K187" i="7" l="1"/>
  <c r="J185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trevor.anderson</author>
  </authors>
  <commentList>
    <comment ref="F370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trevor.anderson: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Rondeen Mcdonald-Clarke</author>
  </authors>
  <commentList>
    <comment ref="K185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Rondeen Mcdonald-Clarke:</t>
        </r>
        <r>
          <rPr>
            <sz val="9"/>
            <color indexed="81"/>
            <rFont val="Tahoma"/>
            <family val="2"/>
          </rPr>
          <t xml:space="preserve">
wrong location should be under AGD misc receipt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Rondeen Mcdonald-Clarke</author>
  </authors>
  <commentList>
    <comment ref="L63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Rondeen Mcdonald-Clarke:</t>
        </r>
        <r>
          <rPr>
            <sz val="9"/>
            <color indexed="81"/>
            <rFont val="Tahoma"/>
            <family val="2"/>
          </rPr>
          <t xml:space="preserve">
INTEGRITY COMM $500 ADDED ppC Responsilble to collect</t>
        </r>
      </text>
    </comment>
    <comment ref="L88" authorId="0" shapeId="0" xr:uid="{00000000-0006-0000-0600-000002000000}">
      <text>
        <r>
          <rPr>
            <b/>
            <sz val="9"/>
            <color indexed="81"/>
            <rFont val="Tahoma"/>
            <family val="2"/>
          </rPr>
          <t>Rondeen Mcdonald-Clarke:</t>
        </r>
        <r>
          <rPr>
            <sz val="9"/>
            <color indexed="81"/>
            <rFont val="Tahoma"/>
            <family val="2"/>
          </rPr>
          <t xml:space="preserve">
to add april to july 2022</t>
        </r>
      </text>
    </comment>
    <comment ref="L94" authorId="0" shapeId="0" xr:uid="{00000000-0006-0000-0600-000003000000}">
      <text>
        <r>
          <rPr>
            <b/>
            <sz val="9"/>
            <color indexed="81"/>
            <rFont val="Tahoma"/>
            <family val="2"/>
          </rPr>
          <t>Rondeen Mcdonald-Clarke:</t>
        </r>
        <r>
          <rPr>
            <sz val="9"/>
            <color indexed="81"/>
            <rFont val="Tahoma"/>
            <family val="2"/>
          </rPr>
          <t xml:space="preserve">
what this includes should these be under agd</t>
        </r>
      </text>
    </comment>
    <comment ref="L148" authorId="0" shapeId="0" xr:uid="{00000000-0006-0000-0600-000004000000}">
      <text>
        <r>
          <rPr>
            <b/>
            <sz val="9"/>
            <color indexed="81"/>
            <rFont val="Tahoma"/>
            <family val="2"/>
          </rPr>
          <t>Rondeen Mcdonald-Clarke:</t>
        </r>
        <r>
          <rPr>
            <sz val="9"/>
            <color indexed="81"/>
            <rFont val="Tahoma"/>
            <family val="2"/>
          </rPr>
          <t xml:space="preserve">
stephanie to remove in October which is still checking</t>
        </r>
      </text>
    </comment>
    <comment ref="L149" authorId="0" shapeId="0" xr:uid="{00000000-0006-0000-0600-000005000000}">
      <text>
        <r>
          <rPr>
            <b/>
            <sz val="9"/>
            <color indexed="81"/>
            <rFont val="Tahoma"/>
            <family val="2"/>
          </rPr>
          <t>Rondeen Mcdonald-Clarke:</t>
        </r>
        <r>
          <rPr>
            <sz val="9"/>
            <color indexed="81"/>
            <rFont val="Tahoma"/>
            <family val="2"/>
          </rPr>
          <t xml:space="preserve">
td interest to be removed from total from august to december </t>
        </r>
      </text>
    </comment>
    <comment ref="L163" authorId="0" shapeId="0" xr:uid="{00000000-0006-0000-0600-000006000000}">
      <text>
        <r>
          <rPr>
            <b/>
            <sz val="9"/>
            <color indexed="81"/>
            <rFont val="Tahoma"/>
            <family val="2"/>
          </rPr>
          <t>Rondeen Mcdonald-Clarke: indecom removed from face based on advised from MOFPS</t>
        </r>
        <r>
          <rPr>
            <sz val="9"/>
            <color indexed="81"/>
            <rFont val="Tahoma"/>
            <family val="2"/>
          </rPr>
          <t xml:space="preserve">
indecom 160561.69 , 99481.53,500  misc receipts AUG SEPT OCT , pica amount 
miscreceipts too low 50% rd maintenance</t>
        </r>
      </text>
    </comment>
    <comment ref="L167" authorId="0" shapeId="0" xr:uid="{00000000-0006-0000-0600-000007000000}">
      <text>
        <r>
          <rPr>
            <b/>
            <sz val="9"/>
            <color indexed="81"/>
            <rFont val="Tahoma"/>
            <family val="2"/>
          </rPr>
          <t>Rondeen Mcdonald-Clarke:</t>
        </r>
        <r>
          <rPr>
            <sz val="9"/>
            <color indexed="81"/>
            <rFont val="Tahoma"/>
            <family val="2"/>
          </rPr>
          <t xml:space="preserve">
too low indecom pica moca post and tel nwa rgd nepa and nla fire and others should be under agd they are not on the face of budget</t>
        </r>
      </text>
    </comment>
    <comment ref="L185" authorId="0" shapeId="0" xr:uid="{00000000-0006-0000-0600-000008000000}">
      <text>
        <r>
          <rPr>
            <b/>
            <sz val="9"/>
            <color indexed="81"/>
            <rFont val="Tahoma"/>
            <family val="2"/>
          </rPr>
          <t>Rondeen Mcdonald-Clarke:</t>
        </r>
        <r>
          <rPr>
            <sz val="9"/>
            <color indexed="81"/>
            <rFont val="Tahoma"/>
            <family val="2"/>
          </rPr>
          <t xml:space="preserve">
sangella to provide soruce</t>
        </r>
      </text>
    </comment>
    <comment ref="L187" authorId="0" shapeId="0" xr:uid="{00000000-0006-0000-0600-000009000000}">
      <text>
        <r>
          <rPr>
            <b/>
            <sz val="9"/>
            <color indexed="81"/>
            <rFont val="Tahoma"/>
            <family val="2"/>
          </rPr>
          <t>Rondeen Mcdonald-Clarke:</t>
        </r>
        <r>
          <rPr>
            <sz val="9"/>
            <color indexed="81"/>
            <rFont val="Tahoma"/>
            <family val="2"/>
          </rPr>
          <t xml:space="preserve">
wrong location should be under AGD misc receipt</t>
        </r>
      </text>
    </comment>
    <comment ref="L190" authorId="0" shapeId="0" xr:uid="{00000000-0006-0000-0600-00000A000000}">
      <text>
        <r>
          <rPr>
            <b/>
            <sz val="9"/>
            <color indexed="81"/>
            <rFont val="Tahoma"/>
            <family val="2"/>
          </rPr>
          <t>Rondeen Mcdonald-Clarke:</t>
        </r>
        <r>
          <rPr>
            <sz val="9"/>
            <color indexed="81"/>
            <rFont val="Tahoma"/>
            <family val="2"/>
          </rPr>
          <t xml:space="preserve">
same agd</t>
        </r>
      </text>
    </comment>
    <comment ref="L271" authorId="0" shapeId="0" xr:uid="{00000000-0006-0000-0600-00000B000000}">
      <text>
        <r>
          <rPr>
            <b/>
            <sz val="9"/>
            <color indexed="81"/>
            <rFont val="Tahoma"/>
            <family val="2"/>
          </rPr>
          <t>Rondeen Mcdonald-Clarke:</t>
        </r>
        <r>
          <rPr>
            <sz val="9"/>
            <color indexed="81"/>
            <rFont val="Tahoma"/>
            <family val="2"/>
          </rPr>
          <t xml:space="preserve">
AGD???
CLASSIFICATION ERROR</t>
        </r>
      </text>
    </comment>
    <comment ref="L280" authorId="0" shapeId="0" xr:uid="{00000000-0006-0000-0600-00000C000000}">
      <text>
        <r>
          <rPr>
            <b/>
            <sz val="9"/>
            <color indexed="81"/>
            <rFont val="Tahoma"/>
            <family val="2"/>
          </rPr>
          <t>Rondeen Mcdonald-Clarke:</t>
        </r>
        <r>
          <rPr>
            <sz val="9"/>
            <color indexed="81"/>
            <rFont val="Tahoma"/>
            <family val="2"/>
          </rPr>
          <t xml:space="preserve">
INCLUDES BELLEVUE MISC REV 8500</t>
        </r>
      </text>
    </comment>
    <comment ref="L382" authorId="0" shapeId="0" xr:uid="{00000000-0006-0000-0600-00000D000000}">
      <text>
        <r>
          <rPr>
            <b/>
            <sz val="9"/>
            <color indexed="81"/>
            <rFont val="Tahoma"/>
            <family val="2"/>
          </rPr>
          <t>Rondeen Mcdonald-Clarke:</t>
        </r>
        <r>
          <rPr>
            <sz val="9"/>
            <color indexed="81"/>
            <rFont val="Tahoma"/>
            <family val="2"/>
          </rPr>
          <t xml:space="preserve">
Classification?</t>
        </r>
      </text>
    </comment>
  </commentList>
</comments>
</file>

<file path=xl/sharedStrings.xml><?xml version="1.0" encoding="utf-8"?>
<sst xmlns="http://schemas.openxmlformats.org/spreadsheetml/2006/main" count="1883" uniqueCount="797">
  <si>
    <t>2023-2024 JAMAICA BUDGET</t>
  </si>
  <si>
    <t>STATEMENT I</t>
  </si>
  <si>
    <t xml:space="preserve"> REVENUE AND LOAN RECEIPTS</t>
  </si>
  <si>
    <t xml:space="preserve"> SUMMARY</t>
  </si>
  <si>
    <t>Original</t>
  </si>
  <si>
    <t>Consolidated</t>
  </si>
  <si>
    <t>Head</t>
  </si>
  <si>
    <t>Account</t>
  </si>
  <si>
    <t>Estimates</t>
  </si>
  <si>
    <t>Fund Receipts</t>
  </si>
  <si>
    <t>2021/2022</t>
  </si>
  <si>
    <t>2022/2023</t>
  </si>
  <si>
    <t xml:space="preserve"> 2022/2023</t>
  </si>
  <si>
    <t>2023/2024</t>
  </si>
  <si>
    <t xml:space="preserve"> (December 2022)</t>
  </si>
  <si>
    <t>$</t>
  </si>
  <si>
    <t>I</t>
  </si>
  <si>
    <t>RECURRENT REVENUE</t>
  </si>
  <si>
    <t xml:space="preserve"> </t>
  </si>
  <si>
    <t>TAXATION</t>
  </si>
  <si>
    <t>Customs</t>
  </si>
  <si>
    <t>Income Tax</t>
  </si>
  <si>
    <t>Stamp Duties</t>
  </si>
  <si>
    <t>Motor Vehicle Licences(Motor Vehicle Act)</t>
  </si>
  <si>
    <t>Other Licences</t>
  </si>
  <si>
    <t>Travel Tax</t>
  </si>
  <si>
    <t>Betting, Gaming and Lotteries-Duties, Fees and Levies</t>
  </si>
  <si>
    <t>Education Tax</t>
  </si>
  <si>
    <t>Contractors Levy</t>
  </si>
  <si>
    <t>General Consumption Tax</t>
  </si>
  <si>
    <t>Special Consumption Tax</t>
  </si>
  <si>
    <t>Environmental Levy</t>
  </si>
  <si>
    <t>Telephone Call Tax</t>
  </si>
  <si>
    <t>Guest Accomodation Room Tax</t>
  </si>
  <si>
    <t>Minimum Business Tax</t>
  </si>
  <si>
    <t>Quarry Tax</t>
  </si>
  <si>
    <t>Import Licences-Trade Board</t>
  </si>
  <si>
    <t>Telecommunication Licences</t>
  </si>
  <si>
    <t>TOTAL</t>
  </si>
  <si>
    <t>II</t>
  </si>
  <si>
    <t>NON-TAX REVENUE</t>
  </si>
  <si>
    <t>MISCELLANEOUS RECEIPTS (UNCLASSIFIED)</t>
  </si>
  <si>
    <t xml:space="preserve">TOTAL RECURRENT REVENUE </t>
  </si>
  <si>
    <t>III</t>
  </si>
  <si>
    <t>CAPITAL REVENUE</t>
  </si>
  <si>
    <t xml:space="preserve"> Land Sales</t>
  </si>
  <si>
    <t xml:space="preserve"> Loan Repayments</t>
  </si>
  <si>
    <t xml:space="preserve">Extraordinary Receipts: Miscelleanous </t>
  </si>
  <si>
    <t xml:space="preserve">TOTAL CAPITAL REVENUE </t>
  </si>
  <si>
    <t xml:space="preserve">TOTAL RECURRENT AND CAPITAL REVENUE </t>
  </si>
  <si>
    <t>IV</t>
  </si>
  <si>
    <t>GRANTS</t>
  </si>
  <si>
    <t>(I)</t>
  </si>
  <si>
    <t>TRANSFER FROM CAPITAL DEVELOPMENT FUND</t>
  </si>
  <si>
    <t xml:space="preserve"> Transfers to Current Account  </t>
  </si>
  <si>
    <t xml:space="preserve"> Transfers to Capital Account</t>
  </si>
  <si>
    <t>Other</t>
  </si>
  <si>
    <t>(II)</t>
  </si>
  <si>
    <t>EXTERNAL GRANTS</t>
  </si>
  <si>
    <t>Grants from the European Union</t>
  </si>
  <si>
    <t>Miscellaneous Grants</t>
  </si>
  <si>
    <t xml:space="preserve">Other Grants </t>
  </si>
  <si>
    <t>TOTAL GRANTS</t>
  </si>
  <si>
    <t>V</t>
  </si>
  <si>
    <t>LOAN RECEIPTS</t>
  </si>
  <si>
    <t>Loan receipts</t>
  </si>
  <si>
    <t>TOTAL LOAN RECEIPTS</t>
  </si>
  <si>
    <t xml:space="preserve">TOTAL REVENUE AND LOAN RECEIPTS  </t>
  </si>
  <si>
    <t>The Consolidated Fund Receipts are subject to change</t>
  </si>
  <si>
    <t>2023/2024 JAMAICA BUDGET</t>
  </si>
  <si>
    <t>STATEMENT II</t>
  </si>
  <si>
    <t>DETAILS OF REVENUE AND LOAN RECEIPTS</t>
  </si>
  <si>
    <t xml:space="preserve">Budget </t>
  </si>
  <si>
    <t>Increase (+) /</t>
  </si>
  <si>
    <t>REVENUE ITEM DESCRIPTION</t>
  </si>
  <si>
    <t>Increase(+) /</t>
  </si>
  <si>
    <t>Decrease (-)</t>
  </si>
  <si>
    <t xml:space="preserve"> (as at Dec-2022)</t>
  </si>
  <si>
    <t>('4)</t>
  </si>
  <si>
    <t>[(2)-(3)]</t>
  </si>
  <si>
    <t>('1)</t>
  </si>
  <si>
    <t>('2)</t>
  </si>
  <si>
    <t>('3)</t>
  </si>
  <si>
    <t>[(4)-(2)]</t>
  </si>
  <si>
    <t>CO</t>
  </si>
  <si>
    <t>S1</t>
  </si>
  <si>
    <t>S2</t>
  </si>
  <si>
    <t>J$</t>
  </si>
  <si>
    <t>TAX REVENUE</t>
  </si>
  <si>
    <t>000</t>
  </si>
  <si>
    <t>50</t>
  </si>
  <si>
    <t>01</t>
  </si>
  <si>
    <t>Import Duties</t>
  </si>
  <si>
    <t>Income Tax-Companies</t>
  </si>
  <si>
    <t>02</t>
  </si>
  <si>
    <t>Income Tax- Individuals</t>
  </si>
  <si>
    <t>Tax on Interest/Dividend</t>
  </si>
  <si>
    <t>Stamp Duties (local)</t>
  </si>
  <si>
    <t>Stamp Duties (import)</t>
  </si>
  <si>
    <t>Motor Vehicle Licences (Motor Vehicle Act)</t>
  </si>
  <si>
    <t>03</t>
  </si>
  <si>
    <t>Customs Brokers</t>
  </si>
  <si>
    <t>04</t>
  </si>
  <si>
    <t>Gaming Machines</t>
  </si>
  <si>
    <t>09</t>
  </si>
  <si>
    <t>Tourist Shop Licence</t>
  </si>
  <si>
    <t>10</t>
  </si>
  <si>
    <t>Tourist Shop Operators Licence</t>
  </si>
  <si>
    <t>Hotel Licence Duty</t>
  </si>
  <si>
    <t>Passenger Levy</t>
  </si>
  <si>
    <t>06</t>
  </si>
  <si>
    <t>07</t>
  </si>
  <si>
    <t>TOTAL TAX REVENUE</t>
  </si>
  <si>
    <t>HIS EXCELLENCY THE GOVERNOR GENERAL AND STAFF</t>
  </si>
  <si>
    <t>01000</t>
  </si>
  <si>
    <t>Processing Fees</t>
  </si>
  <si>
    <t>Miscelleanous Receipts</t>
  </si>
  <si>
    <t>TOTAL- HIS EXCELLENCY THE GOVERNOR GENERAL AND STAFF</t>
  </si>
  <si>
    <t>HOUSE OF PARLIAMENT</t>
  </si>
  <si>
    <t>Miscelleanous Fees (Food &amp; Beverage)</t>
  </si>
  <si>
    <t>TOTAL- HOUSE OF PARLIAMENT</t>
  </si>
  <si>
    <t>INDECOM</t>
  </si>
  <si>
    <t>PUBLIC PROCUREMENT COMMISSION (PPC)</t>
  </si>
  <si>
    <t xml:space="preserve"> Registration Fees</t>
  </si>
  <si>
    <t>TOTAL- PUBLIC PROCUREMENT COMMISSION</t>
  </si>
  <si>
    <t>.</t>
  </si>
  <si>
    <t>AUDITOR GENERAL'S DEPARTMENT</t>
  </si>
  <si>
    <t>05000</t>
  </si>
  <si>
    <t>Audit Fees</t>
  </si>
  <si>
    <t>Miscelleanous Fees</t>
  </si>
  <si>
    <t>TOTAL- AUDITOR GENERAL'S DEPARTMENT</t>
  </si>
  <si>
    <t>OFFICE OF THE SERVICES COMMISSIONS</t>
  </si>
  <si>
    <t>06000</t>
  </si>
  <si>
    <t>TOTAL-OFFICE OF THE SERVICES COMMISSIONS</t>
  </si>
  <si>
    <t>OFFICE OF THE PRIME MINISTER</t>
  </si>
  <si>
    <t>15000</t>
  </si>
  <si>
    <t>Rental Charges</t>
  </si>
  <si>
    <t>Irrevocable Order</t>
  </si>
  <si>
    <t>TOTAL-OFFICE OF THE PRIME MINISTER</t>
  </si>
  <si>
    <t>ELECTORAL COMMISSION</t>
  </si>
  <si>
    <t>Registration  and ID Card Service</t>
  </si>
  <si>
    <t>TOTAL- ELECTORAL COMMISSION</t>
  </si>
  <si>
    <t>OFFICE OF THE CABINET</t>
  </si>
  <si>
    <t>TOTAL- OFFICE OF THE CABINET</t>
  </si>
  <si>
    <t>]</t>
  </si>
  <si>
    <t>MINISTRY OF TOURISM</t>
  </si>
  <si>
    <t>De- earmarked Funds - TEF/ CHASE</t>
  </si>
  <si>
    <t>TOTAL- MINISTRY OF TOURISM</t>
  </si>
  <si>
    <t>MINISTRY OF ECONOMIC GROWTH AND JOB CREATION</t>
  </si>
  <si>
    <t>TOTAL- MINISTRY OF ECONOMIC GROWTH AND JOB CREATION</t>
  </si>
  <si>
    <t>NATIONAL LAND AGENCY</t>
  </si>
  <si>
    <t>Miscellaneous Receipts (50% of Profit)</t>
  </si>
  <si>
    <t>Assurance Fund (100% of Gross Receipts)</t>
  </si>
  <si>
    <t xml:space="preserve">Rents - Crown Lands and Other Government Properties </t>
  </si>
  <si>
    <t xml:space="preserve">Land Settlement Properties </t>
  </si>
  <si>
    <t>05</t>
  </si>
  <si>
    <t>Rental of Land-Leased properties</t>
  </si>
  <si>
    <t>Attorney's Fee/ Photocopying</t>
  </si>
  <si>
    <t>Miscellaneous Receipts</t>
  </si>
  <si>
    <t>Other Receipts (Including Crown Property Sales)</t>
  </si>
  <si>
    <t>TOTAL NATIONAL LAND AGENCY</t>
  </si>
  <si>
    <t>MINISTRY OF FINANCE AND THE PUBLIC SERVICE</t>
  </si>
  <si>
    <t>20000</t>
  </si>
  <si>
    <t>Fees- Banking Licence Registration (1973) - Commercial Banks</t>
  </si>
  <si>
    <t>Profits in Government owned companies-Dividends and Financial Distribution</t>
  </si>
  <si>
    <t>Sale of Unserviceable Stores</t>
  </si>
  <si>
    <t>BOJ Profits</t>
  </si>
  <si>
    <t>Sale of Gazettes</t>
  </si>
  <si>
    <t>Fees-Scotia Bank Jamaica Economic Growth Fund</t>
  </si>
  <si>
    <t>Provident Fund</t>
  </si>
  <si>
    <t>Fees-FIA Licence Registration</t>
  </si>
  <si>
    <t>Fees-Building Societies</t>
  </si>
  <si>
    <t>Sale of Forfeited Goods-FID</t>
  </si>
  <si>
    <t>99</t>
  </si>
  <si>
    <t>Cash Seized and Forfeited</t>
  </si>
  <si>
    <t>Forfeiture of Loan Agreement (MDB)</t>
  </si>
  <si>
    <t>TOTAL- MINISTRY OF FINANCE AND THE PUBLIC SERVICE</t>
  </si>
  <si>
    <t>ACCOUNTANT GENERAL'S DEPARTMENT</t>
  </si>
  <si>
    <t>Interest on On Lent Loans</t>
  </si>
  <si>
    <t>Interest Earned on Local Currency Bank Accounts</t>
  </si>
  <si>
    <t>Interest Earned on Foreign Currency Bank Accounts</t>
  </si>
  <si>
    <t>Interest Earned on Loans and Advances to Public Officers</t>
  </si>
  <si>
    <t>Interest on Government Deposits(MDA)</t>
  </si>
  <si>
    <t>PDCF Interest -Global Bonds  Interest</t>
  </si>
  <si>
    <t>PDCF Interest - Local Investments JUTC Interest</t>
  </si>
  <si>
    <t>Pension Contributions: 5 % Contribution Scheme</t>
  </si>
  <si>
    <t>Pension Contribution:Members of the Legislature</t>
  </si>
  <si>
    <t>Pension Contributions: Other Government Authorities for Seconded Officers</t>
  </si>
  <si>
    <t>Recovery of Pension and Salary</t>
  </si>
  <si>
    <t>Chancery Fund Commission</t>
  </si>
  <si>
    <t>Sale of Receipt Books</t>
  </si>
  <si>
    <t>Recovery of Prior Years' Expenditure</t>
  </si>
  <si>
    <t>Processing Fees- Salary Deduction</t>
  </si>
  <si>
    <t>Registration of Jamaica Investment Capital Growth Funds</t>
  </si>
  <si>
    <t>Fees on Government Guaranteed Loans</t>
  </si>
  <si>
    <t>Executive Agency Investment Fund Management Fees</t>
  </si>
  <si>
    <t>TOTAL- ACCOUNTANT GENERAL'S DEPARTMENT</t>
  </si>
  <si>
    <t>JAMAICA CUSTOMS AGENCY</t>
  </si>
  <si>
    <t>Warehouse Fees</t>
  </si>
  <si>
    <t>Receipts from Sale of Seized Items</t>
  </si>
  <si>
    <t>Penalty Payments for Breaches of Customs Act and Regulations</t>
  </si>
  <si>
    <t>15</t>
  </si>
  <si>
    <t>08</t>
  </si>
  <si>
    <t>Net Service Charge for Shipping and Airline Carriers</t>
  </si>
  <si>
    <t>Processing 5% PAJ</t>
  </si>
  <si>
    <t>Standard and Compliance Fees</t>
  </si>
  <si>
    <t>Customs User/ Administration Fee</t>
  </si>
  <si>
    <t>Irrevocable Standing Orders</t>
  </si>
  <si>
    <t>TOTAL- JAMAICA CUSTOMS AGENCY</t>
  </si>
  <si>
    <t>TAX ADMINISTRATION OF JAMAICA</t>
  </si>
  <si>
    <t>Penalty for late and non-payment of sundry taxes and licences</t>
  </si>
  <si>
    <t>Penalty for Breaches of Spirit Licences</t>
  </si>
  <si>
    <t>Property Tax (2.5%)</t>
  </si>
  <si>
    <t>National Health Fund(NHF 2.5%)</t>
  </si>
  <si>
    <t>Passport Immigration &amp; Citizenship Agency Fee 0.5%</t>
  </si>
  <si>
    <t>Road Maintenance Fund 2.5%</t>
  </si>
  <si>
    <t>Special Consumption Tax 2.5%</t>
  </si>
  <si>
    <t>Island Traffic Authority 20%</t>
  </si>
  <si>
    <t xml:space="preserve"> Police User Fees</t>
  </si>
  <si>
    <t>Trade Licence 2.5%</t>
  </si>
  <si>
    <t>Firearm Licensing Authority User Fees</t>
  </si>
  <si>
    <t>Net Service Charge for services rendered by Excise Officers</t>
  </si>
  <si>
    <t>TOTAL-TAX ADMINISTRATION OF JAMAICA</t>
  </si>
  <si>
    <t>MINISTRY OF HOUSING, URBAN RENEWAL, ENVIRONMENT AND CLIMATE CHANGE</t>
  </si>
  <si>
    <t>TOTAL- MINISTRY OF HOUSING, URBAN RENEWAL, ENVIRONMENT AND CLIMATE CHANGE</t>
  </si>
  <si>
    <t>MINISTRY OF NATIONAL SECURITY</t>
  </si>
  <si>
    <t>Sale of Services- CRDC</t>
  </si>
  <si>
    <t>TOTAL- MINISTRY OF NATIONAL SECURITY</t>
  </si>
  <si>
    <t>JAMAICA DEFENCE FORCE</t>
  </si>
  <si>
    <t xml:space="preserve">Rental of Lettings (Land and Buildings) Soldier's Contribution </t>
  </si>
  <si>
    <t>Soldiers' Contribution to various services</t>
  </si>
  <si>
    <t>TOTAL-JAMAICA DEFENCE FORCE</t>
  </si>
  <si>
    <t>POLICE DEPARTMENT</t>
  </si>
  <si>
    <t>Police Certificates</t>
  </si>
  <si>
    <t>Finger Print Search</t>
  </si>
  <si>
    <t>Pension Contributions: Constabulary</t>
  </si>
  <si>
    <t>Pension Contributions: Special Constables</t>
  </si>
  <si>
    <t>Accident Report</t>
  </si>
  <si>
    <t>TOTAL-POLICE DEPARTMENT</t>
  </si>
  <si>
    <t>DEPARTMENT OF CORRECTIONAL SERVICES</t>
  </si>
  <si>
    <t>Sundry Fines and Contribution</t>
  </si>
  <si>
    <t>Miscellaneous Receipt (Confiscated Cash)</t>
  </si>
  <si>
    <t>TOTAL - DEPARTMENT OF CORRECTIONAL SERVICES</t>
  </si>
  <si>
    <t>MINISTRY OF JUSTICE</t>
  </si>
  <si>
    <t>Traffic Fines</t>
  </si>
  <si>
    <t xml:space="preserve">Other Court Fines </t>
  </si>
  <si>
    <t>Sale of Revised Laws of Jamaica to the Private Sector</t>
  </si>
  <si>
    <t>Forfeited  Recognizances (Funds)</t>
  </si>
  <si>
    <t xml:space="preserve">                           </t>
  </si>
  <si>
    <t>Sale of Marriage Licences</t>
  </si>
  <si>
    <t>001</t>
  </si>
  <si>
    <t>Tender Documents</t>
  </si>
  <si>
    <t>TOTAL- MINISTRY OF JUSTICE</t>
  </si>
  <si>
    <t>MINISTRY OF FOREIGN AFFAIRS AND FOREIGN TRADE</t>
  </si>
  <si>
    <t>Visa Fees from Overseas Missions</t>
  </si>
  <si>
    <t>Authentication fees</t>
  </si>
  <si>
    <t>Rush fees</t>
  </si>
  <si>
    <t>Consul fees</t>
  </si>
  <si>
    <t>Postage fees</t>
  </si>
  <si>
    <t>TOTAL- MINISTRY OF FOREIGN AFFAIRS AND FOREIGN TRADE</t>
  </si>
  <si>
    <t>MINISTRY OF LABOUR AND SOCIAL SECURITY</t>
  </si>
  <si>
    <t>Reimbursement - NIS</t>
  </si>
  <si>
    <t>Fees - Factories Registration Act</t>
  </si>
  <si>
    <t>Fees - Employment  Agencies Registration Act</t>
  </si>
  <si>
    <t>Fees - Recruiting of Workers Act</t>
  </si>
  <si>
    <t>Work Permit</t>
  </si>
  <si>
    <t>TOTAL-MINISTRY OF LABOUR AND SOCIAL SECURITY</t>
  </si>
  <si>
    <t>MINISTRY OF EDUCATION, YOUTH AND CULTURE</t>
  </si>
  <si>
    <t>Fees from Jamaica  School Certificate Examinations</t>
  </si>
  <si>
    <t>Rental of EDDC and other Buildings</t>
  </si>
  <si>
    <t>Repayment of  Bonds by Teachers</t>
  </si>
  <si>
    <t>Transcripts</t>
  </si>
  <si>
    <t>Recovery of Previous years Expenditure</t>
  </si>
  <si>
    <t>TOTAL- MINISTRY OF EDUCATION, YOUTH AND CULTURE</t>
  </si>
  <si>
    <t xml:space="preserve">  </t>
  </si>
  <si>
    <t>MINISTRY OF HEALTH</t>
  </si>
  <si>
    <t>Registration of  Pharmacies  and Pharmacists</t>
  </si>
  <si>
    <t>Registration of Drugs</t>
  </si>
  <si>
    <t>Parents Contribution toward Maintenance of Children in Children's Home</t>
  </si>
  <si>
    <t>Drug Permits</t>
  </si>
  <si>
    <t>Advisory Panel on Ethics ( Research Proposal)</t>
  </si>
  <si>
    <t>TOTAL- MINISTRY OF HEALTH</t>
  </si>
  <si>
    <t>GOVERNMENT CHEMIST</t>
  </si>
  <si>
    <t>Fees from Laboratory analyses</t>
  </si>
  <si>
    <t>TOTAL-GOVERNMENT CHEMIST</t>
  </si>
  <si>
    <t>MINISTRY OF CULTURE, GENDER, ENTERTAINMENT AND SPORTS</t>
  </si>
  <si>
    <t>TOTAL-MINISTRY OF CULTURE, GENDER, ENTERTAINMENT AND SPORTS</t>
  </si>
  <si>
    <t>MINISTRY OF AGRICULTURE AND FISHERIES</t>
  </si>
  <si>
    <t>Receipts from sundry and other receipts</t>
  </si>
  <si>
    <t>Agricultural Land Management Division</t>
  </si>
  <si>
    <t>TOTAL- MINISTRY OF AGRICULTURE AND FISHERIES</t>
  </si>
  <si>
    <t xml:space="preserve">MINISTRY OF INDUSTRY INVESTMENT AND COMMERCE </t>
  </si>
  <si>
    <t>Receipts from sundry and Other Receipt</t>
  </si>
  <si>
    <t xml:space="preserve">TOTAL- MINISTRY OF INDUSTRY INVESTMENT AND COMMERCE </t>
  </si>
  <si>
    <t>OFFICE OF THE GOVERNMENT TRUSTEE</t>
  </si>
  <si>
    <t xml:space="preserve"> Commission on Dividend Payment</t>
  </si>
  <si>
    <t>Legal fees and charges against the Bankruptcy</t>
  </si>
  <si>
    <t>TOTAL- OFFICE OF THE GOVERNMENT TRUSTEE</t>
  </si>
  <si>
    <t>OFFICE OF THE SUPERVISOR OF INSOLVENCY</t>
  </si>
  <si>
    <t>Insolvency Status Verification</t>
  </si>
  <si>
    <t>Trustee Application Fee</t>
  </si>
  <si>
    <t>Trustee Licence Fee</t>
  </si>
  <si>
    <t>Trustee License Renewal</t>
  </si>
  <si>
    <t xml:space="preserve">Miscellaneous Receipts </t>
  </si>
  <si>
    <t>TOTAL-OFFICE OF THE SUPERVISOR OF INSOLVENCY</t>
  </si>
  <si>
    <t>TRADE BOARD</t>
  </si>
  <si>
    <t>Certification Fees</t>
  </si>
  <si>
    <t xml:space="preserve"> Dealers Registration / Licensing Fees</t>
  </si>
  <si>
    <t>Scrap Metal</t>
  </si>
  <si>
    <t>Car Dealers Registration</t>
  </si>
  <si>
    <t>Collateral Letter</t>
  </si>
  <si>
    <t>Letter of Transfer</t>
  </si>
  <si>
    <t>TOTAL- TRADE BOARD</t>
  </si>
  <si>
    <t>DEPARTMENT OF COOPERATIVE AND FRIENDLY SOCIETIES</t>
  </si>
  <si>
    <t xml:space="preserve">Amendment to Rules Fees  </t>
  </si>
  <si>
    <t>Registration Fees - Cooperative &amp; Friendly Society</t>
  </si>
  <si>
    <t>Registration of Special Resolution</t>
  </si>
  <si>
    <t xml:space="preserve">Arbitration </t>
  </si>
  <si>
    <t xml:space="preserve">Training </t>
  </si>
  <si>
    <t>Registration of change in office to include registration of Branch Office with IP Societies</t>
  </si>
  <si>
    <t>Annual Fees for IP Societies</t>
  </si>
  <si>
    <t>TOTAL- DEPARTMENT OF COOPERATIVE AND FRIENDLY SOCIETIES</t>
  </si>
  <si>
    <t>JAMAICA INTELLECTUAL PROPERTY OFFICE</t>
  </si>
  <si>
    <t>Fees for Registration of Trademark</t>
  </si>
  <si>
    <t>Patent fees</t>
  </si>
  <si>
    <t>Utility Models</t>
  </si>
  <si>
    <t>Design Fees</t>
  </si>
  <si>
    <t>Search Fees</t>
  </si>
  <si>
    <t>Trade Mark Journal</t>
  </si>
  <si>
    <t>Trade Mark Publication</t>
  </si>
  <si>
    <t>Geographical Indication Registration</t>
  </si>
  <si>
    <t>Copyright-GDA Registration</t>
  </si>
  <si>
    <t>Madrid Treaty Registration</t>
  </si>
  <si>
    <t>Patent Corporation Treaty Registration</t>
  </si>
  <si>
    <t>Miscellaneous receipts</t>
  </si>
  <si>
    <t>TOTAL- JAMAICA INTELLECTUAL PROPERTY OFFICE</t>
  </si>
  <si>
    <t>MINISTRY OF SCIENCE ENERGY TECHNOLOGY AND TELECOMMUNICATION</t>
  </si>
  <si>
    <t>Fees- Electric Lighting Act</t>
  </si>
  <si>
    <t>Fees -rental of property</t>
  </si>
  <si>
    <t xml:space="preserve">Fees-Petroleum Licencing    </t>
  </si>
  <si>
    <t xml:space="preserve">Fee Maintenace of Property </t>
  </si>
  <si>
    <t>TOTAL-MINISTRY OF SCIENCE ENERGY TECHNOLOGY AND TELECOMMUNICATION</t>
  </si>
  <si>
    <t>POST AND TELECOMMUNICATION DEPARTMENT</t>
  </si>
  <si>
    <t>Sales of Stamps</t>
  </si>
  <si>
    <t xml:space="preserve">Postage, Prepayment </t>
  </si>
  <si>
    <t>Commission on Money Order and Postal Orders</t>
  </si>
  <si>
    <t>C.O.D. and Customs Clearance Fees on Parcels</t>
  </si>
  <si>
    <t>Shares of Postage on Parcels</t>
  </si>
  <si>
    <t>Rental of Property</t>
  </si>
  <si>
    <t>Rental of Letter Boxes and Bags</t>
  </si>
  <si>
    <t>Terminal Dues / Postal Administrations and Airlines</t>
  </si>
  <si>
    <t>Express Mail</t>
  </si>
  <si>
    <t>Other Postal Business</t>
  </si>
  <si>
    <t xml:space="preserve">Commission fees from Jamaica National Small Business </t>
  </si>
  <si>
    <t>Commission Fees from Ministry of Labour and Social Security for handling Welfare Payments</t>
  </si>
  <si>
    <t>Commission on the sale of Ministry of Water &amp; Housing Water Tank and Water Coupons</t>
  </si>
  <si>
    <t>TOTAL- POST AND TELECOMMUNICATION DEPARTMENT</t>
  </si>
  <si>
    <t>MINISTRY OF TRANSPORT AND WORKS</t>
  </si>
  <si>
    <t>Other Receipts</t>
  </si>
  <si>
    <t>Bluefield Guest House</t>
  </si>
  <si>
    <t>On and Off Trailer Plates</t>
  </si>
  <si>
    <t>De- earmarked - Civil Aviation Authority</t>
  </si>
  <si>
    <t>TOTAL- MINISTRY OF TRANSPORT AND WORKS</t>
  </si>
  <si>
    <t>Application for Export Permits</t>
  </si>
  <si>
    <t>Library Publication</t>
  </si>
  <si>
    <t>Receipts from issue of Sundry Permits</t>
  </si>
  <si>
    <t>Laboratory Analysis - Metallic Minerals</t>
  </si>
  <si>
    <t>Royalties-Bauxite</t>
  </si>
  <si>
    <t>Royalties-Limestone</t>
  </si>
  <si>
    <t>Royalties-Marble</t>
  </si>
  <si>
    <t>Blasting Inspections</t>
  </si>
  <si>
    <t>TOTAL- MINES AND GEOLOGY</t>
  </si>
  <si>
    <t>MINISTRY OF LOCAL GOVERNMENT AND RURAL DEVELOPMENT (FORMERLY MINISTRY OF LOCAL GOVERNMENT AND COMMUNITY DEVELOPMENT)</t>
  </si>
  <si>
    <t>Fire Inspection Fees</t>
  </si>
  <si>
    <t xml:space="preserve">Tender Document Fees </t>
  </si>
  <si>
    <t>Repairs of Fire Hydrants</t>
  </si>
  <si>
    <t>Permission to Host events</t>
  </si>
  <si>
    <t>Fines</t>
  </si>
  <si>
    <t>6% Pension Contribution - Councillors</t>
  </si>
  <si>
    <t xml:space="preserve">Miscellaneous  Receipts </t>
  </si>
  <si>
    <t>TOTAL- MINISTRY OF LOCAL GOVERNMENT AND RURAL DEVELOPMENT</t>
  </si>
  <si>
    <t>ESTIMATES  FOR AGENCIES  NOW REMOVED FROM 2023/24</t>
  </si>
  <si>
    <t>MISCELLEANOUS RECEIPTS (UNCLASSIFIED)</t>
  </si>
  <si>
    <t>TOTAL NON TAX REVENUE</t>
  </si>
  <si>
    <t>TOTAL RECURRENT REVENUE</t>
  </si>
  <si>
    <t>LAND SALES</t>
  </si>
  <si>
    <t>Crown Property Sales</t>
  </si>
  <si>
    <t>TOTAL-LAND SALES</t>
  </si>
  <si>
    <t>LOAN REPAYMENTS</t>
  </si>
  <si>
    <t xml:space="preserve">Miscellaneous </t>
  </si>
  <si>
    <t>TOTAL LOAN REPAYMENTS</t>
  </si>
  <si>
    <t>EXTRAORDINARY RECEIPTS</t>
  </si>
  <si>
    <t>Miscelleanous</t>
  </si>
  <si>
    <t>PCDF Other Inflow</t>
  </si>
  <si>
    <t>Proceeds from Divestment</t>
  </si>
  <si>
    <t>TOTAL-EXTRAORDINARY RECEIPTS</t>
  </si>
  <si>
    <t>TOTAL CAPITAL REVENUE</t>
  </si>
  <si>
    <t>Transfer to Current Account</t>
  </si>
  <si>
    <t>Transfers in lieu of Income Tax from Alumina Producers</t>
  </si>
  <si>
    <t>Others</t>
  </si>
  <si>
    <t>TOTAL- TRANSFER TO CAPITAL ACCOUNT</t>
  </si>
  <si>
    <t>European Union</t>
  </si>
  <si>
    <t>Miscelleanous Grants</t>
  </si>
  <si>
    <t>Other Grants</t>
  </si>
  <si>
    <t>TOTAL EXTERNAL GRANTS</t>
  </si>
  <si>
    <t>EXTERNAL LOANS</t>
  </si>
  <si>
    <t>Multilateral</t>
  </si>
  <si>
    <t>Loans to be raised under Act 39 of 1964</t>
  </si>
  <si>
    <t xml:space="preserve"> World Bank Loans</t>
  </si>
  <si>
    <t xml:space="preserve">Inter-American Development Bank </t>
  </si>
  <si>
    <t>USAID</t>
  </si>
  <si>
    <t>Caribbean Development Bank</t>
  </si>
  <si>
    <t>World Bank/IDB</t>
  </si>
  <si>
    <t>IFID</t>
  </si>
  <si>
    <t>OECF/USAID</t>
  </si>
  <si>
    <t>OPEC</t>
  </si>
  <si>
    <t>OECF</t>
  </si>
  <si>
    <t>IMF</t>
  </si>
  <si>
    <t>IBRD</t>
  </si>
  <si>
    <t>Total Multilateral Loans</t>
  </si>
  <si>
    <t>Bilateral</t>
  </si>
  <si>
    <t>Government of China</t>
  </si>
  <si>
    <t>Government of Germany</t>
  </si>
  <si>
    <t>JBIC</t>
  </si>
  <si>
    <t>Kuwait</t>
  </si>
  <si>
    <t>Saudi</t>
  </si>
  <si>
    <t>PL480</t>
  </si>
  <si>
    <t>Other Loans</t>
  </si>
  <si>
    <t>Capital Market</t>
  </si>
  <si>
    <t>Total Bilateral Loans</t>
  </si>
  <si>
    <t>TOTAL-EXTERNAL LOANS</t>
  </si>
  <si>
    <t>DOMESTIC LOANS</t>
  </si>
  <si>
    <t>Local Commercial Banking Sector</t>
  </si>
  <si>
    <t>Benchmark Notes &amp; Treasury Bills</t>
  </si>
  <si>
    <t>Indexed Bonds &amp; US$ Loans</t>
  </si>
  <si>
    <t>other</t>
  </si>
  <si>
    <t>TOTAL- DOMESTIC LOANS</t>
  </si>
  <si>
    <t>TOTAL LOANS</t>
  </si>
  <si>
    <t>2020/2021</t>
  </si>
  <si>
    <t>BUDGET</t>
  </si>
  <si>
    <t>Increase(+)/</t>
  </si>
  <si>
    <t>Decrease(-)</t>
  </si>
  <si>
    <t xml:space="preserve">        Tax Revenue</t>
  </si>
  <si>
    <t xml:space="preserve">         Non Tax Revenue</t>
  </si>
  <si>
    <t xml:space="preserve">         Transfer from Capital Development Fund</t>
  </si>
  <si>
    <t xml:space="preserve">          External Grants</t>
  </si>
  <si>
    <t>LOANS</t>
  </si>
  <si>
    <t xml:space="preserve">        External Loans</t>
  </si>
  <si>
    <t xml:space="preserve">        Domestic Loans</t>
  </si>
  <si>
    <t>Checked By:</t>
  </si>
  <si>
    <t>Date</t>
  </si>
  <si>
    <t>STATEMENT III</t>
  </si>
  <si>
    <t>Summary of Revenue Estimates and Estimates of Expenditure for the Year 2023-2024</t>
  </si>
  <si>
    <t>$'000</t>
  </si>
  <si>
    <t>RECURRENT</t>
  </si>
  <si>
    <t>REVENUE</t>
  </si>
  <si>
    <t>EXPENDITURE</t>
  </si>
  <si>
    <t>Estimates,</t>
  </si>
  <si>
    <t>Taxation Revenue</t>
  </si>
  <si>
    <t>RECURRENT EXPENDITURE</t>
  </si>
  <si>
    <t>His Excellency the Governor-General and Staff</t>
  </si>
  <si>
    <t>Houses of Parliament</t>
  </si>
  <si>
    <t>Office of the Public Defender</t>
  </si>
  <si>
    <t>Auditor General</t>
  </si>
  <si>
    <t>Office of the Services Commissions</t>
  </si>
  <si>
    <t>Office of the Children's Advocate</t>
  </si>
  <si>
    <t>Motor Vehicle Licences</t>
  </si>
  <si>
    <t>Independent Commission of Investigations</t>
  </si>
  <si>
    <t>Integrity Commission</t>
  </si>
  <si>
    <t>Independent Fiscal Commission</t>
  </si>
  <si>
    <t>Betting, Gaming and Lotteries - Duty, Fees, Levies</t>
  </si>
  <si>
    <t>Office of the Prime Minister</t>
  </si>
  <si>
    <t>Office of the Cabinet</t>
  </si>
  <si>
    <t>Ministry of Tourism</t>
  </si>
  <si>
    <t>Ministry of Economic Growth and Job Creation</t>
  </si>
  <si>
    <t>Ministry of Finance and Public Service</t>
  </si>
  <si>
    <t>Subtotal Taxation</t>
  </si>
  <si>
    <t>Ministry of National Security</t>
  </si>
  <si>
    <t>Ministry of Legal and Constitutional Affairs</t>
  </si>
  <si>
    <t>Ministry of Justice</t>
  </si>
  <si>
    <t>Ministry of Foreign Affairs and Foreign Trade</t>
  </si>
  <si>
    <t>Ministry of Labour and Social Security</t>
  </si>
  <si>
    <t>Ministry of Education, Youth and Education</t>
  </si>
  <si>
    <t>Ministry of Health and Wellness</t>
  </si>
  <si>
    <t>Ministry of  Culture, Gender, Entertainment and Sport</t>
  </si>
  <si>
    <t>Ministry of Agriculture and Fisheries</t>
  </si>
  <si>
    <t>Ministry of Industry, Investment and Commerce</t>
  </si>
  <si>
    <t>SUBTOTAL NON TAX REVENUE</t>
  </si>
  <si>
    <t>Ministry of Science, Energy and Technology</t>
  </si>
  <si>
    <t>Ministry of Transport and Mining</t>
  </si>
  <si>
    <t>Ministry of Local Government and Rural Development</t>
  </si>
  <si>
    <t>TRANSFERS FROM CAPITAL DEVELOPMENT FUND</t>
  </si>
  <si>
    <t>Subtotal Non-Tax Revenue</t>
  </si>
  <si>
    <t>GROSS TOTOTAL</t>
  </si>
  <si>
    <t>Transfers from Capital Development Fund</t>
  </si>
  <si>
    <t>Less Appropriations-In-Aid</t>
  </si>
  <si>
    <t>Total Recurrent Revenue</t>
  </si>
  <si>
    <t>TOTAL RECURRENT EXPENDITURE</t>
  </si>
  <si>
    <t>CAPITAL</t>
  </si>
  <si>
    <t>Capital Revenue</t>
  </si>
  <si>
    <t>CAPITAL EXPENDITURE</t>
  </si>
  <si>
    <t>Royalties</t>
  </si>
  <si>
    <t>Land Sales</t>
  </si>
  <si>
    <t>Loan Repayments</t>
  </si>
  <si>
    <t>Extraordinary Receipts</t>
  </si>
  <si>
    <t>Extraordinary Receipts: Miscelleanous</t>
  </si>
  <si>
    <t>Subt Total Capital Revenue</t>
  </si>
  <si>
    <t>Subtotal Capital Revenue</t>
  </si>
  <si>
    <t>Ministry of Education and Youth</t>
  </si>
  <si>
    <t>External Loans</t>
  </si>
  <si>
    <t>(A)  Multilateral</t>
  </si>
  <si>
    <t>Total Multilateral</t>
  </si>
  <si>
    <t>(B) Bilateral</t>
  </si>
  <si>
    <t>TOTAL CAPITAL EXPENDITURE</t>
  </si>
  <si>
    <t>Total Bilateral</t>
  </si>
  <si>
    <t>Total External Loans</t>
  </si>
  <si>
    <t>Domestic Loans</t>
  </si>
  <si>
    <t>(C ) Capital Market</t>
  </si>
  <si>
    <t>(D) Benchmark Notes &amp; Treasury Bills</t>
  </si>
  <si>
    <t>(E) Other</t>
  </si>
  <si>
    <t>Total Domestic Loans</t>
  </si>
  <si>
    <t>Total Domestic Loan</t>
  </si>
  <si>
    <t>Total External and Domestic Loans</t>
  </si>
  <si>
    <t xml:space="preserve">Total External and Domestic Loans </t>
  </si>
  <si>
    <t>SUMMARY</t>
  </si>
  <si>
    <t>Tax and Non Tax Revenue</t>
  </si>
  <si>
    <t>Recurrent Estimates</t>
  </si>
  <si>
    <t>Capital Estimates</t>
  </si>
  <si>
    <t>Transfer from the Capital Development Fund</t>
  </si>
  <si>
    <t>Transfer from Capital Development Fund</t>
  </si>
  <si>
    <t>Loan Funds (Raised and to be raised)</t>
  </si>
  <si>
    <t xml:space="preserve">Loan Funds ( Raised and to be Raised) </t>
  </si>
  <si>
    <t>Grants</t>
  </si>
  <si>
    <t>Total Receipts</t>
  </si>
  <si>
    <t>TOTAL RECEIPTS</t>
  </si>
  <si>
    <t>TOTAL EXPENDITURE</t>
  </si>
  <si>
    <t>STATEMENT IV</t>
  </si>
  <si>
    <t>Statement of the Financing of the  Estimates of Expenditure for the Year 2023-2024</t>
  </si>
  <si>
    <t>Recurrent Revenue</t>
  </si>
  <si>
    <t>Recurrent Expenditure</t>
  </si>
  <si>
    <t>Consolidated Fund Charges</t>
  </si>
  <si>
    <t>Non-Tax Revenue</t>
  </si>
  <si>
    <t>Voted Expenditure</t>
  </si>
  <si>
    <t>Current Account Surplus</t>
  </si>
  <si>
    <t>Loan Funds</t>
  </si>
  <si>
    <t>(A) External Loans</t>
  </si>
  <si>
    <t xml:space="preserve">     (i)   Multilateral</t>
  </si>
  <si>
    <r>
      <t xml:space="preserve">Deficit / </t>
    </r>
    <r>
      <rPr>
        <sz val="9.5"/>
        <rFont val="Arial"/>
        <family val="2"/>
      </rPr>
      <t>Surplus</t>
    </r>
  </si>
  <si>
    <t xml:space="preserve">     (ii)  Bilateral</t>
  </si>
  <si>
    <t xml:space="preserve">     (iii) Other</t>
  </si>
  <si>
    <t>(B) Domestic  Loans</t>
  </si>
  <si>
    <t>TOTAL LOAN FUNDS</t>
  </si>
  <si>
    <t>STATEMENT V</t>
  </si>
  <si>
    <t xml:space="preserve">STATEMENT OF STATUTORY EXPENDITURE CHARGED </t>
  </si>
  <si>
    <t>TO THE CONSOLIDATED FUND</t>
  </si>
  <si>
    <t>Head of Estimates</t>
  </si>
  <si>
    <t>Particulars of Service</t>
  </si>
  <si>
    <t>Amount</t>
  </si>
  <si>
    <t>Statutory Authority</t>
  </si>
  <si>
    <t>No.</t>
  </si>
  <si>
    <t>Emoluments of the Governor-General and his personal staff as well as general expenditure affiliated to the office of the Governor-General</t>
  </si>
  <si>
    <t>Section 12 of the Governor-General (Expenditure, Personal Staff, Tax Exemptions and Pensions) Act.</t>
  </si>
  <si>
    <t>02000</t>
  </si>
  <si>
    <t>Salaries and Allowances of the Clerk and Deputy Clerk of the Senate and the House of Representatives.</t>
  </si>
  <si>
    <t>Section 47 (8) of the Constitution of Jamaica.</t>
  </si>
  <si>
    <t>03000</t>
  </si>
  <si>
    <t>Salary and Allowances of the Public Defender.</t>
  </si>
  <si>
    <t>Section 9 of the Public Defender Interim Act 33/1999</t>
  </si>
  <si>
    <t>Salary of the Auditor General</t>
  </si>
  <si>
    <t>Section 120–122 of the Constitution of Jamaica; Section 25–36 of the Financial Administration and Audit Act.</t>
  </si>
  <si>
    <t>Salaries and Allowances of the Chairman and members of the Public Service Commissions.</t>
  </si>
  <si>
    <t>Section 124 (8) of the Constitution of Jamaica.</t>
  </si>
  <si>
    <t>07000</t>
  </si>
  <si>
    <t>Salary of the Children's Advocate</t>
  </si>
  <si>
    <t>The Child Care and Protection Act, First Schedule</t>
  </si>
  <si>
    <t>08000</t>
  </si>
  <si>
    <t>Salary of the Commissioner</t>
  </si>
  <si>
    <t>The Independent Commission of Investigations Act, First Schedule</t>
  </si>
  <si>
    <t>09000</t>
  </si>
  <si>
    <t>Salaries and Allowances for the Commissioners of the Integrity Commission</t>
  </si>
  <si>
    <t>Section 22 of the Integrity Commission Act</t>
  </si>
  <si>
    <t>Section 8 of the Independent Fiscal Commission Act</t>
  </si>
  <si>
    <t>Public Debt Servicing (Amortisation)</t>
  </si>
  <si>
    <t>Payment for the amortisation of loans raised by the Government of Jamaica.</t>
  </si>
  <si>
    <t>Section 119 of the Constitution of Jamaica</t>
  </si>
  <si>
    <t>Public Debt Servicing (Interest Payments)</t>
  </si>
  <si>
    <t>Payment of interest, service charges and commitment fees in respect of the public debt of Jamaica.</t>
  </si>
  <si>
    <t>Section 119 of the Constitution of Jamaica.</t>
  </si>
  <si>
    <t>Pensions</t>
  </si>
  <si>
    <t>Public Officers Pensions, Gratuities and Monthly Allowances granted in pursuance of the provisions of the Pensions Act.</t>
  </si>
  <si>
    <t>Section 4 of the Pensions Act.</t>
  </si>
  <si>
    <t>Jamaica Defence Force Pension</t>
  </si>
  <si>
    <t>Defence (Retired, Pay Pensions and other Grants) Regulation, 1962</t>
  </si>
  <si>
    <t>Payment of Pensions and Gratuities to Teachers in accordance with the Pensions Act</t>
  </si>
  <si>
    <t>The Pensions (Teachers) Act.</t>
  </si>
  <si>
    <t>Payment of Pensions, Gratuities or other allowances to Sub-Officers and Constables of the Police Force in accordance with the Constabulary Force Act</t>
  </si>
  <si>
    <t>Constabulary Force Act.</t>
  </si>
  <si>
    <t>Payment of retiring allowances, Widows’ allowances or gratuity to legislators in accordance with the provisions of the Retiring Allowance  (Legislative Service) Act, and/or The Pensions (Prime Minister) Act.</t>
  </si>
  <si>
    <t>Section 12 of the Retiring Allowances (Legislative Service) Act and Section 7 of the Pensions (Prime Minister) Act.</t>
  </si>
  <si>
    <t>Refund of Family Benefits Contributions in accordance with the Provisions of the Pensions (Civil Service Family Benefits) Act.</t>
  </si>
  <si>
    <t>Section 10 of the Pensions (Civil Service Family Benefits) Act.</t>
  </si>
  <si>
    <t>Payment of Pensions in accordance with the Provisions of the Pensions (Civil Service Family Benefits) Act.</t>
  </si>
  <si>
    <t>Pensions (Civil Service Family Benefits) Act.</t>
  </si>
  <si>
    <t>Payment of Pensions to retired Parish Councillors and/or their widows in accordance with the provisions of the Retiring Allowances (Parish Councillors) Act</t>
  </si>
  <si>
    <t>Parish Councillors Act 2005</t>
  </si>
  <si>
    <t>Payment of Pensions to the retired members of the Electoral Commission and their widows</t>
  </si>
  <si>
    <t>The Pensions Act</t>
  </si>
  <si>
    <t>Payment of Pensions to the retired Ombudsmen and their widows.</t>
  </si>
  <si>
    <t>The Ombudsman Act</t>
  </si>
  <si>
    <t>Governor-General's Pension</t>
  </si>
  <si>
    <t>Governor General Act</t>
  </si>
  <si>
    <t>Payment of Pensions to the retired Contractor General and his widow in accordance with the Contractor General Act.</t>
  </si>
  <si>
    <t>The Contractor General Act</t>
  </si>
  <si>
    <t>Jamaica Agricultural Society Pensions</t>
  </si>
  <si>
    <t>Provident Fund Act</t>
  </si>
  <si>
    <t>Payment of Pensions to the former employees, Jamaica Railway Corporation.</t>
  </si>
  <si>
    <t>Jamaica Railway Corporation (Pensions) Regulations</t>
  </si>
  <si>
    <t>Total Pensions</t>
  </si>
  <si>
    <t>28025</t>
  </si>
  <si>
    <t>Director of Public Prosecutions</t>
  </si>
  <si>
    <t>Payment of Salary to the Director of Public Prosecutions</t>
  </si>
  <si>
    <t>Section 95 (2) of the Constitution of Jamaica</t>
  </si>
  <si>
    <t>Judiciary</t>
  </si>
  <si>
    <t>Payment of Salaries to the Judges of the Court of Appeal and the Supreme Court</t>
  </si>
  <si>
    <t>Section 107 (1) of the Constitution of Jamaica</t>
  </si>
  <si>
    <t xml:space="preserve">Total </t>
  </si>
  <si>
    <t>August</t>
  </si>
  <si>
    <t>sept</t>
  </si>
  <si>
    <t>October</t>
  </si>
  <si>
    <t>nov</t>
  </si>
  <si>
    <t>DECEMBER UPDATE</t>
  </si>
  <si>
    <t>Fund</t>
  </si>
  <si>
    <t xml:space="preserve">2022-2023 JAMAICA BUDGET </t>
  </si>
  <si>
    <t>Receipts</t>
  </si>
  <si>
    <t>YEAR TO DATE</t>
  </si>
  <si>
    <t>Total</t>
  </si>
  <si>
    <t>Income Tax-Individuals</t>
  </si>
  <si>
    <t>General Consumption tax</t>
  </si>
  <si>
    <t>Miscellaneous Fees</t>
  </si>
  <si>
    <t>Miscellaneous Fees (Food &amp; Beverage)</t>
  </si>
  <si>
    <t>TOTAL-HOUSE OF PARLIAMENT</t>
  </si>
  <si>
    <t>INDEPENDENT COMMISSION OF INVESTIGATIONS(INDECOM)</t>
  </si>
  <si>
    <t>TOTAL-INDEPENDENT COMMISSION OF INVESTIGATIONS(INDECOM)</t>
  </si>
  <si>
    <t>INTEGRITY COMMISSION OF JAMAICA (FORMERLY OFFICE OF THE CONTRACTOR GENERAL)</t>
  </si>
  <si>
    <t>Contractor's Registration Fees</t>
  </si>
  <si>
    <t>TOTAL - INTEGRITY COMMISSION OF JAMAICA (FORMERLY OFFICE OF THE CONTRACTOR GENERAL)</t>
  </si>
  <si>
    <t>Registration fee</t>
  </si>
  <si>
    <t>TOTAL-PUBLIC PROCUREMENT COMMISSION (PPC)</t>
  </si>
  <si>
    <t>TOTAL - AUDITOR GENERAL'S DEPARTMENT</t>
  </si>
  <si>
    <t>OFFICE OF THE SERVICES COMMISSION</t>
  </si>
  <si>
    <t>TOTAL - OFFICE OF THE SERVICES COMMISSION</t>
  </si>
  <si>
    <t>TOTAL - OFFICE OF THE PRIME MINISTER</t>
  </si>
  <si>
    <t xml:space="preserve"> ELECTORAL COMMISSION</t>
  </si>
  <si>
    <t>TOTAL - ELECTORAL COMMISSION</t>
  </si>
  <si>
    <t>TOTAL - OFFICE OF THE CABINET</t>
  </si>
  <si>
    <t>TOTAL - MINISTRY OF TOURISM</t>
  </si>
  <si>
    <t>TOTAL - MINISTRY OF ECONOMIC GROWTH AND JOB CREATION</t>
  </si>
  <si>
    <t>FORESTRY DEPARTMENT</t>
  </si>
  <si>
    <t>Timber Sales</t>
  </si>
  <si>
    <t>Sale of Seedings</t>
  </si>
  <si>
    <t>TOTAL- FORESTRY DEPARTMENT</t>
  </si>
  <si>
    <t>Miscelleanous Receipts  (50% of Gross Receipts)</t>
  </si>
  <si>
    <t>Assurance Fund (50% of Gross Receipts)</t>
  </si>
  <si>
    <t>TOTAL -NATIONAL LAND AGENCY</t>
  </si>
  <si>
    <t>NATIONAL ENVIRONMENT AND PLANNING AGENCY</t>
  </si>
  <si>
    <t>Beach and Dredging Licences</t>
  </si>
  <si>
    <t>Environment Permits and Licences Hunters Licences</t>
  </si>
  <si>
    <t>Hunters Licences</t>
  </si>
  <si>
    <t>Air Quality Licence</t>
  </si>
  <si>
    <t>Lifeguard</t>
  </si>
  <si>
    <t>CITES</t>
  </si>
  <si>
    <t>Hazardous Waste</t>
  </si>
  <si>
    <t>Wastewater and Sludge</t>
  </si>
  <si>
    <t>Other Fees</t>
  </si>
  <si>
    <t>TOTAL -NATIONAL ENVIRONMENT AND PLANNING AGENCY</t>
  </si>
  <si>
    <t>Fees- Banking Licence Registration( 1973) - Commercial Banks</t>
  </si>
  <si>
    <t>Profits on Government ownes Companies-Dividend and Financial Distribution</t>
  </si>
  <si>
    <t>Sale of Unservicable Stores</t>
  </si>
  <si>
    <t>Fees-ScotiaBank Jamaica Economic Growth Fund</t>
  </si>
  <si>
    <t>TOTAL - MINISTRY OF FINANCE AND THE PUBLIC SERVICE</t>
  </si>
  <si>
    <t>Interest earned on Foreign Currency Bank Accounts/PCDF Interest</t>
  </si>
  <si>
    <t>Pension Contributions:5% Contribution Scheme  (PSP)</t>
  </si>
  <si>
    <t>Registration of Jamica Investment Capital Growth Funds</t>
  </si>
  <si>
    <t>TOTAL - ACCOUNTANT GENERAL'S DEPARTMENT</t>
  </si>
  <si>
    <t>TOTAL - JAMAICA CUSTOMS AGENCY</t>
  </si>
  <si>
    <t>National Health Fund NHF (2.5%)</t>
  </si>
  <si>
    <t>Police User Fees</t>
  </si>
  <si>
    <t>TOTAL - TAX ADMINISTRATION OF JAMAICA</t>
  </si>
  <si>
    <t>MINISTRY OF HOUSING URBAN RENEWAL ENVIRONMENT AND CLIMATE</t>
  </si>
  <si>
    <t>TOTAL - MINISTRY OF HOUSING URBAN RENEWAL ENVIRONMENT AND CLIMATE</t>
  </si>
  <si>
    <t>TOTAL - MINISTRY OF NATIONAL SECURITY</t>
  </si>
  <si>
    <t xml:space="preserve"> JAMAICA DEFENCE FORCE</t>
  </si>
  <si>
    <t>TOTAL - JAMAICA DEFENCE FORCE</t>
  </si>
  <si>
    <t xml:space="preserve"> POLICE DEPARTMENT</t>
  </si>
  <si>
    <t>Finger Print Search (Formerly User Service Fees)</t>
  </si>
  <si>
    <t>TOTAL -  POLICE DEPARTMENT</t>
  </si>
  <si>
    <t xml:space="preserve"> PASSPORT IMMIGRATION AND CITIZENSHIP AGENCY</t>
  </si>
  <si>
    <t>Passport Services</t>
  </si>
  <si>
    <t>Citizenship Services</t>
  </si>
  <si>
    <t>Immigration Services</t>
  </si>
  <si>
    <t>TOTAL -PASSPORT IMMIGRATION AND CITIZENSHIP AGENCY</t>
  </si>
  <si>
    <t>TOTAL - MINISTRY OF JUSTICE</t>
  </si>
  <si>
    <t>ADMINISTRATOR GENERAL'S DEPARTMENT</t>
  </si>
  <si>
    <t>Charges for Administering Intestate Estate (50% of Gross Receipts)</t>
  </si>
  <si>
    <t>Bona Vacantia and Unclaimed Balances</t>
  </si>
  <si>
    <t>TOTAL - ADMINISTRATOR GENERAL'S DEPARTMENT</t>
  </si>
  <si>
    <t>TOTAL  - MINISTRY OF FOREIGN AFFAIRS AND FOREIGN TRADE</t>
  </si>
  <si>
    <t>TOTAL - MINISTRY OF LABOUR AND SOCIAL SECURITY</t>
  </si>
  <si>
    <t>MINISTRY OF EDUCATION YOUTH AND INFORMATION</t>
  </si>
  <si>
    <t>TOTAL - MINISTRY OF EDUCATION YOUTH AND INFORMATION</t>
  </si>
  <si>
    <t>Advisory Panel on Ethics (Research Proposal)</t>
  </si>
  <si>
    <t>TOTAL - MINISTRY OF HEALTH</t>
  </si>
  <si>
    <t>BELLEVUE HOSPITAL</t>
  </si>
  <si>
    <t>Sales of Farm Produce</t>
  </si>
  <si>
    <t>Processing Fees for Salary Deduction Forms</t>
  </si>
  <si>
    <t>Sales of Tender Bids</t>
  </si>
  <si>
    <t>Sales of Lost Access Pass</t>
  </si>
  <si>
    <t>TOTAL-BELLEVUE HOSPITAL</t>
  </si>
  <si>
    <t>TOTAL -GOVERNMENT CHEMIST</t>
  </si>
  <si>
    <t>MINISTRY OF CULTURE GENDER ENTERTAINMENT AND SPORTS</t>
  </si>
  <si>
    <t>TOTAL - MINISTRY OF CULTURE GENDER ENTERTAINMENT AND SPORTS</t>
  </si>
  <si>
    <t>MINISTRY OF INDUSTRY COMMERCE AGRICULTURE AND FISHERIES</t>
  </si>
  <si>
    <t>Other Receipts from Agricultural Stations</t>
  </si>
  <si>
    <t>Receipts  from sundry  and other receipts</t>
  </si>
  <si>
    <t>TOTAL - MINISTRY OF INDUSTRY COMMERCE AGRICULTURE AND FISHERIES</t>
  </si>
  <si>
    <t xml:space="preserve">FOOD PROTECTION,INSPECTION AND DEINFESTATION DIVISION </t>
  </si>
  <si>
    <t xml:space="preserve">Food Protection , Inspection &amp; Deinfestation Division - Sundry Fees </t>
  </si>
  <si>
    <t>TOTAL - FOOD PROTECTION INSPECTION AND DEINFESTATION DIVISION</t>
  </si>
  <si>
    <t xml:space="preserve">OFFICE OF GOVERNMENT TRUSTEE </t>
  </si>
  <si>
    <t>Commission on Dividend Payment</t>
  </si>
  <si>
    <t>Legal Fees and charges against bankrutcy</t>
  </si>
  <si>
    <t>TOTAL - OFFICE OF THE GOVERNMENT TRUSTEE</t>
  </si>
  <si>
    <t>OFFICE OF THE SUPERVISOR INSOLVENCY</t>
  </si>
  <si>
    <t>Bankruptcy Status Verification</t>
  </si>
  <si>
    <t>Trustee Aplication Fee</t>
  </si>
  <si>
    <t>TOTAL- OFFICE OF THE SUERVISOR INSOLVENCY</t>
  </si>
  <si>
    <t xml:space="preserve"> Dealers Registration</t>
  </si>
  <si>
    <t xml:space="preserve">Scrap Metal </t>
  </si>
  <si>
    <t xml:space="preserve"> Car Dealers Registration</t>
  </si>
  <si>
    <t>TOTAL - TRADE BOARD</t>
  </si>
  <si>
    <t>DEPARTMENT OF COOPERATIVE AND FRIENDLY SOCIETY</t>
  </si>
  <si>
    <t>TOTAL - DEPARTMENT OF COOPERATIVE AND FRIENDLY SOCIETY</t>
  </si>
  <si>
    <t>COMPANIES OFFICE OF JAMAICA</t>
  </si>
  <si>
    <t>Fees for Registration of Companies (50% of Surplus to Consolidated Fund)</t>
  </si>
  <si>
    <t>Fees for Registration of Business Names (50% Surplus to Consolidated Fund)</t>
  </si>
  <si>
    <t>TOTAL-COMPANIES OFFICE OF JAMAICA</t>
  </si>
  <si>
    <t>Search Fee</t>
  </si>
  <si>
    <t>Trademark Journal</t>
  </si>
  <si>
    <t>Trademark Publication Fees</t>
  </si>
  <si>
    <t>Geographical Indications</t>
  </si>
  <si>
    <t>Copyright-GDA</t>
  </si>
  <si>
    <t>TOTAL- JAMAICA INTELECTUAL PROPERTY OFFICE</t>
  </si>
  <si>
    <t>TOTAL - MINISTRY OF  AGRICULTURE AND FISHERIES</t>
  </si>
  <si>
    <t xml:space="preserve">MINISTRY OF INDUSTRY AND COMMERCE  </t>
  </si>
  <si>
    <t xml:space="preserve">TOTAL - MINISTRY OF INDUSTRY AND COMMERCE   </t>
  </si>
  <si>
    <t>MINISTRY OF SCIENCE ENERGY AND TECHNOLOGY</t>
  </si>
  <si>
    <t>TOTAL - MINISTRY OF SCIENCE ENERGY AND TECHNOLOGY</t>
  </si>
  <si>
    <t>SCIENTIFIC RESEARCH COUNCIL</t>
  </si>
  <si>
    <t>Information Services</t>
  </si>
  <si>
    <t>Process Development</t>
  </si>
  <si>
    <t>Product Research and Development</t>
  </si>
  <si>
    <t>Promotion and Distribution of Products</t>
  </si>
  <si>
    <t>TOTAL- SCIENTIFIC RESEARCH COUNCIL</t>
  </si>
  <si>
    <t>POST AND TELECOMMUNICATIONS DEPARTMENT</t>
  </si>
  <si>
    <t>Terminal Dues/Postal Administration and Airlines</t>
  </si>
  <si>
    <t>Security for handling Welfare Payments</t>
  </si>
  <si>
    <t>Commission on the sale of Ministry of Water and Housing Water Tank and Water Coupons</t>
  </si>
  <si>
    <t>TOTAL - POST AND TELECOMMUNICATIONS DEPARTMENT</t>
  </si>
  <si>
    <t>MINISTRY OF TRANSPORT AND MINING</t>
  </si>
  <si>
    <t>TOTAL - MINISTRY OF TRANSPORT AND MINING</t>
  </si>
  <si>
    <t>MINES AND GEOLOGY DIVISION</t>
  </si>
  <si>
    <t>TOTAL - MINES AND GEOLOGY DIVISION</t>
  </si>
  <si>
    <t>MINISTRY OF LOCAL GOVERNMENT AND COMMUNITY DEVELOPMENT</t>
  </si>
  <si>
    <t>Tender Documents Fees</t>
  </si>
  <si>
    <t>Repair of Fire Hydrants</t>
  </si>
  <si>
    <t>Permission to Host Events</t>
  </si>
  <si>
    <t>6% Pension Contribution- Councillors</t>
  </si>
  <si>
    <t>TOTAL - MINISTRY OF LOCAL GOVERNMENT AND COMMUNITY DEVELOPMENT</t>
  </si>
  <si>
    <t>JAMAICA FIRE BRIGADE</t>
  </si>
  <si>
    <t>Fire Certificate and Application</t>
  </si>
  <si>
    <t>Training of Safety Monitor and Demonstration</t>
  </si>
  <si>
    <t>TOTAL- JAMAICA FIRE BRIGADE</t>
  </si>
  <si>
    <t>MISCELEANOUS RECEIPTS( UNCLASSIFIED)</t>
  </si>
  <si>
    <t>TOTAL NON-TAX REVENUE</t>
  </si>
  <si>
    <t>Crown Lands/ Properties</t>
  </si>
  <si>
    <t>TOTAL -  LAND SALES</t>
  </si>
  <si>
    <t>TOTAL - LOAN REPAYMENTS</t>
  </si>
  <si>
    <t xml:space="preserve">Miscelleanous </t>
  </si>
  <si>
    <t>TOTAL - EXTRAORDINARY RECEIPTS</t>
  </si>
  <si>
    <t>TOTAL -MULTILATERAL LOANS</t>
  </si>
  <si>
    <t xml:space="preserve">Bilateral </t>
  </si>
  <si>
    <t>TOTAL BILATERAL LOANS</t>
  </si>
  <si>
    <t>TOTAL- EXTERNAL LOANS</t>
  </si>
  <si>
    <t>TOTAL DOMESTIC LOANS</t>
  </si>
  <si>
    <t xml:space="preserve">TOTAL LOAN </t>
  </si>
  <si>
    <t>External Grants</t>
  </si>
  <si>
    <t>Loan Receipts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</si>
</sst>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_-;\-* #,##0.00_-;_-* &quot;-&quot;??_-;_-@_-"/>
    <numFmt numFmtId="165" formatCode="#,##0\ ;\(#,##0\)"/>
    <numFmt numFmtId="166" formatCode="#,##0.0\ ;\(#,##0.0\)"/>
    <numFmt numFmtId="167" formatCode="_-* #,##0_-;\-* #,##0_-;_-* &quot;-&quot;??_-;_-@_-"/>
    <numFmt numFmtId="168" formatCode="#,##0.0_);[Red]\(#,##0.0\)"/>
    <numFmt numFmtId="169" formatCode="_-* #,##0.0_-;\-* #,##0.0_-;_-* &quot;-&quot;??_-;_-@_-"/>
    <numFmt numFmtId="170" formatCode="#,##0_ ;[Red]\-#,##0\ "/>
  </numFmts>
  <fonts count="3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Helv"/>
    </font>
    <font>
      <sz val="10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Helv"/>
    </font>
    <font>
      <sz val="9.5"/>
      <name val="CG Times (E1)"/>
    </font>
    <font>
      <sz val="9.5"/>
      <name val="Arial"/>
      <family val="2"/>
    </font>
    <font>
      <b/>
      <sz val="9.5"/>
      <name val="Arial"/>
      <family val="2"/>
    </font>
    <font>
      <b/>
      <sz val="11"/>
      <name val="Arial"/>
      <family val="2"/>
    </font>
    <font>
      <sz val="9.5"/>
      <color indexed="10"/>
      <name val="Arial"/>
      <family val="2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0"/>
      <name val="Arial"/>
      <family val="2"/>
    </font>
    <font>
      <b/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2"/>
      <color theme="0"/>
      <name val="Times New Roman"/>
      <family val="1"/>
    </font>
    <font>
      <b/>
      <sz val="14"/>
      <color theme="0"/>
      <name val="Times New Roman"/>
      <family val="1"/>
    </font>
    <font>
      <b/>
      <sz val="12"/>
      <color theme="0"/>
      <name val="Times New Roman"/>
      <family val="1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rgb="FFFF0000"/>
      <name val="Arial"/>
      <family val="2"/>
    </font>
    <font>
      <b/>
      <sz val="12"/>
      <color rgb="FFFF0000"/>
      <name val="Arial"/>
      <family val="2"/>
    </font>
    <font>
      <b/>
      <u/>
      <sz val="10"/>
      <name val="Arial"/>
      <family val="2"/>
    </font>
    <font>
      <sz val="8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C65911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0" fontId="8" fillId="0" borderId="0" applyFont="0" applyFill="0" applyBorder="0" applyAlignment="0" applyProtection="0"/>
    <xf numFmtId="0" fontId="9" fillId="0" borderId="0"/>
    <xf numFmtId="0" fontId="15" fillId="0" borderId="0"/>
    <xf numFmtId="9" fontId="1" fillId="0" borderId="0" applyFont="0" applyFill="0" applyBorder="0" applyAlignment="0" applyProtection="0"/>
    <xf numFmtId="0" fontId="15" fillId="0" borderId="0">
      <alignment wrapText="1"/>
    </xf>
  </cellStyleXfs>
  <cellXfs count="784">
    <xf numFmtId="0" fontId="0" fillId="0" borderId="0" xfId="0"/>
    <xf numFmtId="0" fontId="3" fillId="0" borderId="0" xfId="3"/>
    <xf numFmtId="164" fontId="3" fillId="0" borderId="0" xfId="1" applyFont="1" applyFill="1" applyBorder="1"/>
    <xf numFmtId="164" fontId="4" fillId="0" borderId="0" xfId="1" applyFont="1"/>
    <xf numFmtId="165" fontId="4" fillId="0" borderId="0" xfId="5" applyNumberFormat="1" applyFont="1"/>
    <xf numFmtId="165" fontId="4" fillId="0" borderId="7" xfId="5" applyNumberFormat="1" applyFont="1" applyBorder="1"/>
    <xf numFmtId="165" fontId="4" fillId="0" borderId="8" xfId="5" applyNumberFormat="1" applyFont="1" applyBorder="1"/>
    <xf numFmtId="165" fontId="3" fillId="0" borderId="20" xfId="5" applyNumberFormat="1" applyFont="1" applyBorder="1"/>
    <xf numFmtId="165" fontId="3" fillId="0" borderId="0" xfId="5" applyNumberFormat="1" applyFont="1"/>
    <xf numFmtId="165" fontId="4" fillId="0" borderId="9" xfId="5" applyNumberFormat="1" applyFont="1" applyBorder="1"/>
    <xf numFmtId="165" fontId="3" fillId="0" borderId="12" xfId="5" applyNumberFormat="1" applyFont="1" applyBorder="1"/>
    <xf numFmtId="165" fontId="4" fillId="0" borderId="10" xfId="5" applyNumberFormat="1" applyFont="1" applyBorder="1"/>
    <xf numFmtId="165" fontId="4" fillId="0" borderId="11" xfId="5" applyNumberFormat="1" applyFont="1" applyBorder="1"/>
    <xf numFmtId="165" fontId="3" fillId="0" borderId="15" xfId="5" applyNumberFormat="1" applyFont="1" applyBorder="1"/>
    <xf numFmtId="165" fontId="3" fillId="0" borderId="8" xfId="5" applyNumberFormat="1" applyFont="1" applyBorder="1"/>
    <xf numFmtId="165" fontId="4" fillId="0" borderId="0" xfId="5" applyNumberFormat="1" applyFont="1" applyAlignment="1">
      <alignment horizontal="left"/>
    </xf>
    <xf numFmtId="0" fontId="4" fillId="0" borderId="0" xfId="5" applyFont="1"/>
    <xf numFmtId="38" fontId="3" fillId="0" borderId="1" xfId="6" applyNumberFormat="1" applyFont="1" applyBorder="1" applyAlignment="1">
      <alignment horizontal="center" vertical="top"/>
    </xf>
    <xf numFmtId="38" fontId="3" fillId="0" borderId="18" xfId="6" applyNumberFormat="1" applyFont="1" applyBorder="1" applyAlignment="1">
      <alignment horizontal="center" vertical="top"/>
    </xf>
    <xf numFmtId="38" fontId="3" fillId="0" borderId="0" xfId="6" applyNumberFormat="1" applyFont="1" applyBorder="1" applyAlignment="1">
      <alignment horizontal="center" vertical="top"/>
    </xf>
    <xf numFmtId="38" fontId="3" fillId="0" borderId="0" xfId="6" applyNumberFormat="1" applyFont="1" applyAlignment="1">
      <alignment horizontal="center" vertical="top"/>
    </xf>
    <xf numFmtId="38" fontId="3" fillId="0" borderId="10" xfId="6" applyNumberFormat="1" applyFont="1" applyBorder="1" applyAlignment="1">
      <alignment horizontal="center" vertical="top"/>
    </xf>
    <xf numFmtId="38" fontId="3" fillId="0" borderId="15" xfId="6" applyNumberFormat="1" applyFont="1" applyBorder="1" applyAlignment="1">
      <alignment horizontal="center" vertical="top"/>
    </xf>
    <xf numFmtId="38" fontId="3" fillId="0" borderId="5" xfId="6" applyNumberFormat="1" applyFont="1" applyBorder="1" applyAlignment="1">
      <alignment horizontal="center" vertical="top"/>
    </xf>
    <xf numFmtId="38" fontId="3" fillId="0" borderId="16" xfId="6" applyNumberFormat="1" applyFont="1" applyBorder="1" applyAlignment="1">
      <alignment horizontal="center" vertical="top"/>
    </xf>
    <xf numFmtId="38" fontId="3" fillId="0" borderId="5" xfId="6" applyNumberFormat="1" applyFont="1" applyFill="1" applyBorder="1" applyAlignment="1">
      <alignment horizontal="center" vertical="top"/>
    </xf>
    <xf numFmtId="38" fontId="3" fillId="0" borderId="16" xfId="6" applyNumberFormat="1" applyFont="1" applyFill="1" applyBorder="1" applyAlignment="1">
      <alignment horizontal="center" vertical="top"/>
    </xf>
    <xf numFmtId="38" fontId="3" fillId="0" borderId="0" xfId="6" applyNumberFormat="1" applyFont="1" applyFill="1" applyBorder="1" applyAlignment="1">
      <alignment horizontal="center" vertical="top"/>
    </xf>
    <xf numFmtId="38" fontId="3" fillId="0" borderId="0" xfId="6" applyNumberFormat="1" applyFont="1" applyFill="1" applyAlignment="1">
      <alignment horizontal="center" vertical="top"/>
    </xf>
    <xf numFmtId="38" fontId="3" fillId="0" borderId="7" xfId="6" applyNumberFormat="1" applyFont="1" applyBorder="1" applyAlignment="1">
      <alignment vertical="top"/>
    </xf>
    <xf numFmtId="38" fontId="3" fillId="0" borderId="8" xfId="6" applyNumberFormat="1" applyFont="1" applyBorder="1" applyAlignment="1">
      <alignment vertical="top"/>
    </xf>
    <xf numFmtId="38" fontId="4" fillId="0" borderId="20" xfId="6" applyNumberFormat="1" applyFont="1" applyBorder="1" applyAlignment="1">
      <alignment horizontal="right" vertical="top"/>
    </xf>
    <xf numFmtId="38" fontId="3" fillId="0" borderId="0" xfId="6" applyNumberFormat="1" applyFont="1" applyBorder="1" applyAlignment="1">
      <alignment horizontal="right" vertical="top"/>
    </xf>
    <xf numFmtId="38" fontId="3" fillId="0" borderId="7" xfId="6" applyNumberFormat="1" applyFont="1" applyBorder="1" applyAlignment="1">
      <alignment horizontal="right" vertical="top"/>
    </xf>
    <xf numFmtId="38" fontId="3" fillId="0" borderId="12" xfId="6" applyNumberFormat="1" applyFont="1" applyBorder="1" applyAlignment="1">
      <alignment horizontal="right" vertical="top"/>
    </xf>
    <xf numFmtId="38" fontId="3" fillId="0" borderId="0" xfId="6" applyNumberFormat="1" applyFont="1" applyBorder="1" applyAlignment="1">
      <alignment vertical="top"/>
    </xf>
    <xf numFmtId="38" fontId="3" fillId="0" borderId="0" xfId="6" applyNumberFormat="1" applyFont="1" applyAlignment="1">
      <alignment vertical="top"/>
    </xf>
    <xf numFmtId="38" fontId="3" fillId="0" borderId="9" xfId="6" applyNumberFormat="1" applyFont="1" applyBorder="1" applyAlignment="1">
      <alignment vertical="top"/>
    </xf>
    <xf numFmtId="38" fontId="4" fillId="0" borderId="0" xfId="6" applyNumberFormat="1" applyFont="1" applyBorder="1" applyAlignment="1">
      <alignment vertical="top"/>
    </xf>
    <xf numFmtId="38" fontId="4" fillId="0" borderId="12" xfId="6" quotePrefix="1" applyNumberFormat="1" applyFont="1" applyBorder="1" applyAlignment="1">
      <alignment horizontal="right" vertical="top"/>
    </xf>
    <xf numFmtId="38" fontId="3" fillId="0" borderId="9" xfId="6" applyNumberFormat="1" applyFont="1" applyBorder="1" applyAlignment="1">
      <alignment horizontal="right" vertical="top"/>
    </xf>
    <xf numFmtId="38" fontId="4" fillId="0" borderId="12" xfId="6" quotePrefix="1" applyNumberFormat="1" applyFont="1" applyBorder="1" applyAlignment="1">
      <alignment vertical="top"/>
    </xf>
    <xf numFmtId="38" fontId="3" fillId="0" borderId="12" xfId="6" applyNumberFormat="1" applyFont="1" applyBorder="1" applyAlignment="1">
      <alignment vertical="top"/>
    </xf>
    <xf numFmtId="38" fontId="3" fillId="0" borderId="9" xfId="6" applyNumberFormat="1" applyFont="1" applyBorder="1" applyAlignment="1">
      <alignment vertical="center"/>
    </xf>
    <xf numFmtId="38" fontId="3" fillId="0" borderId="0" xfId="6" applyNumberFormat="1" applyFont="1" applyBorder="1" applyAlignment="1">
      <alignment vertical="center"/>
    </xf>
    <xf numFmtId="38" fontId="3" fillId="0" borderId="12" xfId="6" applyNumberFormat="1" applyFont="1" applyBorder="1" applyAlignment="1">
      <alignment vertical="center"/>
    </xf>
    <xf numFmtId="38" fontId="3" fillId="0" borderId="0" xfId="6" applyNumberFormat="1" applyFont="1" applyAlignment="1">
      <alignment vertical="center"/>
    </xf>
    <xf numFmtId="38" fontId="3" fillId="0" borderId="0" xfId="6" applyNumberFormat="1" applyFont="1" applyFill="1" applyBorder="1" applyAlignment="1">
      <alignment vertical="top"/>
    </xf>
    <xf numFmtId="38" fontId="3" fillId="0" borderId="0" xfId="6" applyNumberFormat="1" applyFont="1" applyBorder="1" applyAlignment="1" applyProtection="1">
      <alignment vertical="top"/>
      <protection locked="0"/>
    </xf>
    <xf numFmtId="38" fontId="3" fillId="0" borderId="12" xfId="6" applyNumberFormat="1" applyFont="1" applyBorder="1" applyAlignment="1" applyProtection="1">
      <alignment vertical="top"/>
      <protection locked="0"/>
    </xf>
    <xf numFmtId="38" fontId="3" fillId="0" borderId="9" xfId="6" applyNumberFormat="1" applyFont="1" applyBorder="1" applyAlignment="1" applyProtection="1">
      <alignment vertical="top"/>
      <protection locked="0"/>
    </xf>
    <xf numFmtId="38" fontId="4" fillId="0" borderId="12" xfId="6" applyNumberFormat="1" applyFont="1" applyBorder="1" applyAlignment="1">
      <alignment vertical="top"/>
    </xf>
    <xf numFmtId="38" fontId="4" fillId="0" borderId="9" xfId="6" applyNumberFormat="1" applyFont="1" applyBorder="1" applyAlignment="1">
      <alignment vertical="top"/>
    </xf>
    <xf numFmtId="38" fontId="3" fillId="0" borderId="0" xfId="6" applyNumberFormat="1" applyFont="1" applyFill="1" applyAlignment="1">
      <alignment vertical="top"/>
    </xf>
    <xf numFmtId="38" fontId="3" fillId="0" borderId="10" xfId="6" applyNumberFormat="1" applyFont="1" applyBorder="1" applyAlignment="1">
      <alignment vertical="top"/>
    </xf>
    <xf numFmtId="38" fontId="4" fillId="0" borderId="11" xfId="6" applyNumberFormat="1" applyFont="1" applyBorder="1" applyAlignment="1">
      <alignment vertical="top"/>
    </xf>
    <xf numFmtId="38" fontId="3" fillId="0" borderId="11" xfId="6" applyNumberFormat="1" applyFont="1" applyBorder="1" applyAlignment="1">
      <alignment vertical="top"/>
    </xf>
    <xf numFmtId="38" fontId="4" fillId="0" borderId="15" xfId="6" applyNumberFormat="1" applyFont="1" applyBorder="1" applyAlignment="1">
      <alignment vertical="top"/>
    </xf>
    <xf numFmtId="38" fontId="4" fillId="0" borderId="10" xfId="6" applyNumberFormat="1" applyFont="1" applyBorder="1" applyAlignment="1">
      <alignment vertical="top"/>
    </xf>
    <xf numFmtId="38" fontId="3" fillId="0" borderId="15" xfId="6" applyNumberFormat="1" applyFont="1" applyBorder="1" applyAlignment="1">
      <alignment vertical="top"/>
    </xf>
    <xf numFmtId="38" fontId="3" fillId="0" borderId="20" xfId="6" applyNumberFormat="1" applyFont="1" applyBorder="1" applyAlignment="1">
      <alignment horizontal="right" vertical="top"/>
    </xf>
    <xf numFmtId="38" fontId="3" fillId="0" borderId="9" xfId="6" applyNumberFormat="1" applyFont="1" applyFill="1" applyBorder="1" applyAlignment="1">
      <alignment vertical="top"/>
    </xf>
    <xf numFmtId="38" fontId="3" fillId="0" borderId="12" xfId="6" applyNumberFormat="1" applyFont="1" applyFill="1" applyBorder="1" applyAlignment="1">
      <alignment vertical="top"/>
    </xf>
    <xf numFmtId="38" fontId="3" fillId="0" borderId="9" xfId="6" applyNumberFormat="1" applyFont="1" applyFill="1" applyBorder="1" applyAlignment="1">
      <alignment vertical="center"/>
    </xf>
    <xf numFmtId="38" fontId="3" fillId="0" borderId="12" xfId="6" applyNumberFormat="1" applyFont="1" applyFill="1" applyBorder="1" applyAlignment="1">
      <alignment vertical="center"/>
    </xf>
    <xf numFmtId="38" fontId="3" fillId="0" borderId="0" xfId="6" applyNumberFormat="1" applyFont="1" applyFill="1" applyAlignment="1">
      <alignment vertical="center"/>
    </xf>
    <xf numFmtId="38" fontId="3" fillId="0" borderId="7" xfId="6" applyNumberFormat="1" applyFont="1" applyFill="1" applyBorder="1" applyAlignment="1">
      <alignment vertical="top"/>
    </xf>
    <xf numFmtId="38" fontId="3" fillId="0" borderId="8" xfId="6" applyNumberFormat="1" applyFont="1" applyFill="1" applyBorder="1" applyAlignment="1">
      <alignment vertical="top"/>
    </xf>
    <xf numFmtId="38" fontId="4" fillId="0" borderId="8" xfId="6" applyNumberFormat="1" applyFont="1" applyFill="1" applyBorder="1" applyAlignment="1">
      <alignment vertical="top"/>
    </xf>
    <xf numFmtId="38" fontId="3" fillId="0" borderId="20" xfId="6" applyNumberFormat="1" applyFont="1" applyFill="1" applyBorder="1" applyAlignment="1">
      <alignment vertical="top"/>
    </xf>
    <xf numFmtId="38" fontId="4" fillId="0" borderId="0" xfId="6" applyNumberFormat="1" applyFont="1" applyAlignment="1">
      <alignment vertical="top"/>
    </xf>
    <xf numFmtId="0" fontId="10" fillId="0" borderId="0" xfId="7" applyFont="1"/>
    <xf numFmtId="0" fontId="10" fillId="0" borderId="12" xfId="7" applyFont="1" applyBorder="1"/>
    <xf numFmtId="0" fontId="11" fillId="0" borderId="7" xfId="7" quotePrefix="1" applyFont="1" applyBorder="1" applyAlignment="1">
      <alignment horizontal="center"/>
    </xf>
    <xf numFmtId="0" fontId="11" fillId="0" borderId="8" xfId="7" quotePrefix="1" applyFont="1" applyBorder="1" applyAlignment="1">
      <alignment horizontal="center"/>
    </xf>
    <xf numFmtId="0" fontId="10" fillId="0" borderId="5" xfId="7" applyFont="1" applyBorder="1" applyAlignment="1">
      <alignment horizontal="fill"/>
    </xf>
    <xf numFmtId="0" fontId="12" fillId="0" borderId="6" xfId="7" applyFont="1" applyBorder="1" applyAlignment="1">
      <alignment horizontal="center"/>
    </xf>
    <xf numFmtId="0" fontId="10" fillId="0" borderId="6" xfId="7" applyFont="1" applyBorder="1" applyAlignment="1">
      <alignment horizontal="fill"/>
    </xf>
    <xf numFmtId="0" fontId="10" fillId="0" borderId="16" xfId="7" applyFont="1" applyBorder="1" applyAlignment="1">
      <alignment horizontal="fill"/>
    </xf>
    <xf numFmtId="0" fontId="10" fillId="0" borderId="0" xfId="7" applyFont="1" applyAlignment="1">
      <alignment horizontal="fill"/>
    </xf>
    <xf numFmtId="0" fontId="10" fillId="0" borderId="7" xfId="7" applyFont="1" applyBorder="1" applyAlignment="1">
      <alignment horizontal="left"/>
    </xf>
    <xf numFmtId="0" fontId="10" fillId="0" borderId="8" xfId="7" applyFont="1" applyBorder="1"/>
    <xf numFmtId="0" fontId="11" fillId="0" borderId="20" xfId="7" applyFont="1" applyBorder="1" applyAlignment="1">
      <alignment horizontal="right"/>
    </xf>
    <xf numFmtId="0" fontId="10" fillId="0" borderId="0" xfId="7" applyFont="1" applyAlignment="1">
      <alignment horizontal="left"/>
    </xf>
    <xf numFmtId="0" fontId="12" fillId="0" borderId="8" xfId="7" applyFont="1" applyBorder="1" applyAlignment="1">
      <alignment horizontal="center"/>
    </xf>
    <xf numFmtId="165" fontId="10" fillId="0" borderId="0" xfId="7" applyNumberFormat="1" applyFont="1"/>
    <xf numFmtId="0" fontId="10" fillId="0" borderId="9" xfId="7" applyFont="1" applyBorder="1"/>
    <xf numFmtId="165" fontId="10" fillId="0" borderId="12" xfId="7" applyNumberFormat="1" applyFont="1" applyBorder="1"/>
    <xf numFmtId="165" fontId="10" fillId="0" borderId="9" xfId="7" applyNumberFormat="1" applyFont="1" applyBorder="1"/>
    <xf numFmtId="165" fontId="10" fillId="2" borderId="0" xfId="7" applyNumberFormat="1" applyFont="1" applyFill="1"/>
    <xf numFmtId="38" fontId="10" fillId="0" borderId="8" xfId="6" applyNumberFormat="1" applyFont="1" applyBorder="1" applyAlignment="1">
      <alignment horizontal="right"/>
    </xf>
    <xf numFmtId="0" fontId="11" fillId="0" borderId="0" xfId="7" applyFont="1" applyAlignment="1">
      <alignment horizontal="left"/>
    </xf>
    <xf numFmtId="165" fontId="11" fillId="0" borderId="12" xfId="7" applyNumberFormat="1" applyFont="1" applyBorder="1"/>
    <xf numFmtId="0" fontId="11" fillId="0" borderId="0" xfId="7" applyFont="1" applyAlignment="1">
      <alignment horizontal="center"/>
    </xf>
    <xf numFmtId="165" fontId="10" fillId="0" borderId="0" xfId="7" applyNumberFormat="1" applyFont="1" applyProtection="1">
      <protection locked="0"/>
    </xf>
    <xf numFmtId="165" fontId="10" fillId="0" borderId="12" xfId="7" applyNumberFormat="1" applyFont="1" applyBorder="1" applyProtection="1">
      <protection locked="0"/>
    </xf>
    <xf numFmtId="165" fontId="10" fillId="0" borderId="9" xfId="7" applyNumberFormat="1" applyFont="1" applyBorder="1" applyProtection="1">
      <protection locked="0"/>
    </xf>
    <xf numFmtId="165" fontId="11" fillId="0" borderId="0" xfId="7" applyNumberFormat="1" applyFont="1"/>
    <xf numFmtId="165" fontId="11" fillId="0" borderId="9" xfId="7" applyNumberFormat="1" applyFont="1" applyBorder="1"/>
    <xf numFmtId="0" fontId="11" fillId="0" borderId="9" xfId="7" applyFont="1" applyBorder="1" applyAlignment="1">
      <alignment horizontal="left"/>
    </xf>
    <xf numFmtId="0" fontId="13" fillId="0" borderId="0" xfId="7" applyFont="1" applyAlignment="1">
      <alignment horizontal="left"/>
    </xf>
    <xf numFmtId="38" fontId="10" fillId="0" borderId="12" xfId="6" applyNumberFormat="1" applyFont="1" applyBorder="1"/>
    <xf numFmtId="38" fontId="4" fillId="0" borderId="0" xfId="6" applyNumberFormat="1" applyFont="1" applyBorder="1" applyAlignment="1">
      <alignment horizontal="left"/>
    </xf>
    <xf numFmtId="166" fontId="10" fillId="0" borderId="0" xfId="7" applyNumberFormat="1" applyFont="1"/>
    <xf numFmtId="166" fontId="10" fillId="0" borderId="12" xfId="7" applyNumberFormat="1" applyFont="1" applyBorder="1"/>
    <xf numFmtId="166" fontId="10" fillId="0" borderId="9" xfId="7" applyNumberFormat="1" applyFont="1" applyBorder="1"/>
    <xf numFmtId="0" fontId="10" fillId="0" borderId="10" xfId="7" applyFont="1" applyBorder="1"/>
    <xf numFmtId="0" fontId="10" fillId="0" borderId="11" xfId="7" applyFont="1" applyBorder="1"/>
    <xf numFmtId="0" fontId="10" fillId="0" borderId="15" xfId="7" applyFont="1" applyBorder="1"/>
    <xf numFmtId="164" fontId="3" fillId="0" borderId="14" xfId="1" applyFont="1" applyBorder="1"/>
    <xf numFmtId="164" fontId="3" fillId="0" borderId="13" xfId="1" applyFont="1" applyBorder="1"/>
    <xf numFmtId="164" fontId="3" fillId="0" borderId="14" xfId="1" applyFont="1" applyBorder="1" applyAlignment="1">
      <alignment horizontal="centerContinuous"/>
    </xf>
    <xf numFmtId="164" fontId="3" fillId="0" borderId="0" xfId="1" applyFont="1"/>
    <xf numFmtId="164" fontId="3" fillId="0" borderId="9" xfId="1" applyFont="1" applyBorder="1"/>
    <xf numFmtId="164" fontId="3" fillId="0" borderId="9" xfId="1" applyFont="1" applyBorder="1" applyAlignment="1">
      <alignment horizontal="centerContinuous"/>
    </xf>
    <xf numFmtId="164" fontId="3" fillId="0" borderId="0" xfId="1" applyFont="1" applyBorder="1"/>
    <xf numFmtId="0" fontId="14" fillId="0" borderId="0" xfId="0" applyFont="1"/>
    <xf numFmtId="0" fontId="4" fillId="0" borderId="0" xfId="3" applyFont="1"/>
    <xf numFmtId="164" fontId="4" fillId="0" borderId="14" xfId="1" applyFont="1" applyBorder="1"/>
    <xf numFmtId="164" fontId="4" fillId="0" borderId="9" xfId="1" applyFont="1" applyBorder="1"/>
    <xf numFmtId="164" fontId="5" fillId="0" borderId="14" xfId="1" applyFont="1" applyBorder="1"/>
    <xf numFmtId="38" fontId="4" fillId="0" borderId="9" xfId="6" applyNumberFormat="1" applyFont="1" applyBorder="1" applyAlignment="1">
      <alignment vertical="center"/>
    </xf>
    <xf numFmtId="164" fontId="4" fillId="0" borderId="0" xfId="1" applyFont="1" applyBorder="1" applyAlignment="1">
      <alignment vertical="top"/>
    </xf>
    <xf numFmtId="164" fontId="10" fillId="0" borderId="0" xfId="1" applyFont="1" applyBorder="1"/>
    <xf numFmtId="164" fontId="11" fillId="0" borderId="8" xfId="1" quotePrefix="1" applyFont="1" applyBorder="1" applyAlignment="1">
      <alignment horizontal="center"/>
    </xf>
    <xf numFmtId="164" fontId="10" fillId="0" borderId="6" xfId="1" applyFont="1" applyFill="1" applyBorder="1" applyAlignment="1">
      <alignment horizontal="fill"/>
    </xf>
    <xf numFmtId="164" fontId="11" fillId="0" borderId="8" xfId="1" applyFont="1" applyBorder="1" applyAlignment="1">
      <alignment horizontal="right"/>
    </xf>
    <xf numFmtId="164" fontId="11" fillId="0" borderId="17" xfId="1" applyFont="1" applyBorder="1"/>
    <xf numFmtId="164" fontId="10" fillId="0" borderId="0" xfId="1" applyFont="1" applyBorder="1" applyProtection="1">
      <protection locked="0"/>
    </xf>
    <xf numFmtId="164" fontId="11" fillId="0" borderId="0" xfId="1" applyFont="1" applyBorder="1"/>
    <xf numFmtId="164" fontId="10" fillId="0" borderId="11" xfId="1" applyFont="1" applyBorder="1"/>
    <xf numFmtId="164" fontId="10" fillId="0" borderId="0" xfId="1" applyFont="1"/>
    <xf numFmtId="164" fontId="3" fillId="0" borderId="0" xfId="1" applyFont="1" applyBorder="1" applyAlignment="1">
      <alignment vertical="top"/>
    </xf>
    <xf numFmtId="164" fontId="3" fillId="0" borderId="0" xfId="1" applyFont="1" applyBorder="1" applyAlignment="1">
      <alignment vertical="center"/>
    </xf>
    <xf numFmtId="164" fontId="3" fillId="0" borderId="11" xfId="1" applyFont="1" applyBorder="1" applyAlignment="1">
      <alignment vertical="top"/>
    </xf>
    <xf numFmtId="164" fontId="4" fillId="0" borderId="0" xfId="1" applyFont="1" applyFill="1" applyBorder="1" applyAlignment="1">
      <alignment vertical="top"/>
    </xf>
    <xf numFmtId="3" fontId="3" fillId="0" borderId="14" xfId="1" applyNumberFormat="1" applyFont="1" applyBorder="1"/>
    <xf numFmtId="164" fontId="4" fillId="0" borderId="14" xfId="1" applyFont="1" applyFill="1" applyBorder="1" applyAlignment="1">
      <alignment horizontal="center"/>
    </xf>
    <xf numFmtId="164" fontId="4" fillId="0" borderId="14" xfId="1" quotePrefix="1" applyFont="1" applyFill="1" applyBorder="1" applyAlignment="1">
      <alignment horizontal="center"/>
    </xf>
    <xf numFmtId="164" fontId="3" fillId="0" borderId="8" xfId="1" applyFont="1" applyBorder="1"/>
    <xf numFmtId="3" fontId="3" fillId="0" borderId="0" xfId="1" applyNumberFormat="1" applyFont="1" applyBorder="1"/>
    <xf numFmtId="165" fontId="3" fillId="0" borderId="13" xfId="5" applyNumberFormat="1" applyFont="1" applyBorder="1"/>
    <xf numFmtId="165" fontId="4" fillId="0" borderId="14" xfId="5" applyNumberFormat="1" applyFont="1" applyBorder="1" applyAlignment="1">
      <alignment horizontal="left"/>
    </xf>
    <xf numFmtId="165" fontId="3" fillId="0" borderId="14" xfId="5" applyNumberFormat="1" applyFont="1" applyBorder="1"/>
    <xf numFmtId="165" fontId="4" fillId="0" borderId="14" xfId="5" applyNumberFormat="1" applyFont="1" applyBorder="1" applyAlignment="1">
      <alignment horizontal="center"/>
    </xf>
    <xf numFmtId="164" fontId="3" fillId="0" borderId="13" xfId="1" applyFont="1" applyBorder="1" applyAlignment="1">
      <alignment horizontal="center"/>
    </xf>
    <xf numFmtId="43" fontId="4" fillId="0" borderId="14" xfId="3" applyNumberFormat="1" applyFont="1" applyBorder="1" applyAlignment="1">
      <alignment horizontal="center"/>
    </xf>
    <xf numFmtId="13" fontId="4" fillId="0" borderId="14" xfId="3" quotePrefix="1" applyNumberFormat="1" applyFont="1" applyBorder="1" applyAlignment="1">
      <alignment horizontal="center"/>
    </xf>
    <xf numFmtId="165" fontId="3" fillId="0" borderId="25" xfId="5" applyNumberFormat="1" applyFont="1" applyBorder="1" applyAlignment="1">
      <alignment horizontal="center"/>
    </xf>
    <xf numFmtId="164" fontId="3" fillId="0" borderId="25" xfId="1" applyFont="1" applyBorder="1" applyAlignment="1">
      <alignment horizontal="center"/>
    </xf>
    <xf numFmtId="167" fontId="4" fillId="0" borderId="6" xfId="1" applyNumberFormat="1" applyFont="1" applyBorder="1" applyAlignment="1">
      <alignment horizontal="right"/>
    </xf>
    <xf numFmtId="167" fontId="4" fillId="0" borderId="24" xfId="1" applyNumberFormat="1" applyFont="1" applyBorder="1" applyAlignment="1">
      <alignment horizontal="right"/>
    </xf>
    <xf numFmtId="3" fontId="4" fillId="0" borderId="14" xfId="1" applyNumberFormat="1" applyFont="1" applyFill="1" applyBorder="1" applyAlignment="1">
      <alignment horizontal="center"/>
    </xf>
    <xf numFmtId="3" fontId="4" fillId="0" borderId="14" xfId="1" quotePrefix="1" applyNumberFormat="1" applyFont="1" applyFill="1" applyBorder="1" applyAlignment="1">
      <alignment horizontal="center"/>
    </xf>
    <xf numFmtId="165" fontId="4" fillId="0" borderId="14" xfId="5" quotePrefix="1" applyNumberFormat="1" applyFont="1" applyBorder="1" applyAlignment="1">
      <alignment horizontal="center"/>
    </xf>
    <xf numFmtId="167" fontId="3" fillId="0" borderId="14" xfId="1" applyNumberFormat="1" applyFont="1" applyBorder="1"/>
    <xf numFmtId="167" fontId="3" fillId="0" borderId="0" xfId="1" applyNumberFormat="1" applyFont="1" applyBorder="1"/>
    <xf numFmtId="167" fontId="3" fillId="0" borderId="14" xfId="1" applyNumberFormat="1" applyFont="1" applyBorder="1" applyAlignment="1">
      <alignment horizontal="right"/>
    </xf>
    <xf numFmtId="167" fontId="3" fillId="0" borderId="25" xfId="1" applyNumberFormat="1" applyFont="1" applyBorder="1"/>
    <xf numFmtId="167" fontId="3" fillId="0" borderId="0" xfId="1" applyNumberFormat="1" applyFont="1" applyBorder="1" applyAlignment="1">
      <alignment horizontal="right"/>
    </xf>
    <xf numFmtId="167" fontId="3" fillId="0" borderId="14" xfId="1" applyNumberFormat="1" applyFont="1" applyBorder="1" applyAlignment="1">
      <alignment horizontal="center"/>
    </xf>
    <xf numFmtId="167" fontId="4" fillId="0" borderId="14" xfId="1" applyNumberFormat="1" applyFont="1" applyBorder="1" applyAlignment="1">
      <alignment horizontal="left"/>
    </xf>
    <xf numFmtId="167" fontId="3" fillId="0" borderId="14" xfId="1" applyNumberFormat="1" applyFont="1" applyBorder="1" applyAlignment="1"/>
    <xf numFmtId="167" fontId="3" fillId="0" borderId="8" xfId="1" applyNumberFormat="1" applyFont="1" applyBorder="1" applyAlignment="1">
      <alignment horizontal="right"/>
    </xf>
    <xf numFmtId="167" fontId="3" fillId="0" borderId="13" xfId="1" applyNumberFormat="1" applyFont="1" applyBorder="1" applyAlignment="1">
      <alignment horizontal="right"/>
    </xf>
    <xf numFmtId="167" fontId="3" fillId="0" borderId="13" xfId="1" applyNumberFormat="1" applyFont="1" applyBorder="1"/>
    <xf numFmtId="167" fontId="4" fillId="0" borderId="14" xfId="1" applyNumberFormat="1" applyFont="1" applyFill="1" applyBorder="1" applyAlignment="1">
      <alignment horizontal="left"/>
    </xf>
    <xf numFmtId="167" fontId="3" fillId="0" borderId="14" xfId="1" applyNumberFormat="1" applyFont="1" applyFill="1" applyBorder="1" applyAlignment="1">
      <alignment wrapText="1"/>
    </xf>
    <xf numFmtId="167" fontId="3" fillId="0" borderId="14" xfId="1" applyNumberFormat="1" applyFont="1" applyFill="1" applyBorder="1" applyAlignment="1">
      <alignment horizontal="center"/>
    </xf>
    <xf numFmtId="167" fontId="3" fillId="0" borderId="14" xfId="1" applyNumberFormat="1" applyFont="1" applyFill="1" applyBorder="1" applyAlignment="1">
      <alignment vertical="center" wrapText="1"/>
    </xf>
    <xf numFmtId="167" fontId="4" fillId="0" borderId="24" xfId="1" applyNumberFormat="1" applyFont="1" applyFill="1" applyBorder="1" applyAlignment="1">
      <alignment horizontal="left"/>
    </xf>
    <xf numFmtId="167" fontId="4" fillId="0" borderId="0" xfId="1" applyNumberFormat="1" applyFont="1" applyBorder="1" applyAlignment="1">
      <alignment horizontal="right"/>
    </xf>
    <xf numFmtId="167" fontId="4" fillId="0" borderId="14" xfId="1" applyNumberFormat="1" applyFont="1" applyBorder="1" applyAlignment="1">
      <alignment horizontal="right"/>
    </xf>
    <xf numFmtId="167" fontId="4" fillId="0" borderId="14" xfId="1" applyNumberFormat="1" applyFont="1" applyBorder="1"/>
    <xf numFmtId="167" fontId="4" fillId="0" borderId="24" xfId="1" applyNumberFormat="1" applyFont="1" applyFill="1" applyBorder="1" applyAlignment="1">
      <alignment horizontal="center"/>
    </xf>
    <xf numFmtId="167" fontId="3" fillId="0" borderId="14" xfId="1" applyNumberFormat="1" applyFont="1" applyFill="1" applyBorder="1"/>
    <xf numFmtId="164" fontId="4" fillId="0" borderId="0" xfId="1" applyFont="1" applyBorder="1" applyAlignment="1">
      <alignment horizontal="left"/>
    </xf>
    <xf numFmtId="164" fontId="3" fillId="0" borderId="0" xfId="1" applyFont="1" applyBorder="1" applyAlignment="1">
      <alignment horizontal="left"/>
    </xf>
    <xf numFmtId="164" fontId="4" fillId="0" borderId="0" xfId="1" applyFont="1" applyFill="1" applyBorder="1" applyAlignment="1">
      <alignment horizontal="left"/>
    </xf>
    <xf numFmtId="164" fontId="3" fillId="0" borderId="0" xfId="1" applyFont="1" applyFill="1" applyBorder="1" applyAlignment="1">
      <alignment wrapText="1"/>
    </xf>
    <xf numFmtId="164" fontId="3" fillId="0" borderId="0" xfId="1" applyFont="1" applyFill="1" applyBorder="1" applyAlignment="1">
      <alignment horizontal="left"/>
    </xf>
    <xf numFmtId="164" fontId="3" fillId="0" borderId="0" xfId="1" applyFont="1" applyBorder="1" applyAlignment="1">
      <alignment horizontal="centerContinuous"/>
    </xf>
    <xf numFmtId="164" fontId="4" fillId="0" borderId="0" xfId="1" applyFont="1" applyBorder="1"/>
    <xf numFmtId="165" fontId="4" fillId="0" borderId="11" xfId="5" applyNumberFormat="1" applyFont="1" applyBorder="1" applyAlignment="1">
      <alignment horizontal="left"/>
    </xf>
    <xf numFmtId="164" fontId="3" fillId="0" borderId="11" xfId="1" applyFont="1" applyBorder="1" applyAlignment="1">
      <alignment horizontal="centerContinuous"/>
    </xf>
    <xf numFmtId="3" fontId="4" fillId="0" borderId="13" xfId="1" applyNumberFormat="1" applyFont="1" applyFill="1" applyBorder="1" applyAlignment="1">
      <alignment horizontal="center"/>
    </xf>
    <xf numFmtId="167" fontId="18" fillId="0" borderId="21" xfId="1" applyNumberFormat="1" applyFont="1" applyFill="1" applyBorder="1" applyAlignment="1"/>
    <xf numFmtId="167" fontId="4" fillId="0" borderId="8" xfId="1" applyNumberFormat="1" applyFont="1" applyBorder="1" applyAlignment="1">
      <alignment horizontal="right" vertical="top"/>
    </xf>
    <xf numFmtId="167" fontId="4" fillId="0" borderId="0" xfId="1" quotePrefix="1" applyNumberFormat="1" applyFont="1" applyBorder="1" applyAlignment="1">
      <alignment vertical="top"/>
    </xf>
    <xf numFmtId="167" fontId="4" fillId="0" borderId="0" xfId="1" applyNumberFormat="1" applyFont="1" applyBorder="1" applyAlignment="1">
      <alignment vertical="top"/>
    </xf>
    <xf numFmtId="167" fontId="3" fillId="0" borderId="0" xfId="1" applyNumberFormat="1" applyFont="1" applyBorder="1" applyAlignment="1">
      <alignment vertical="top"/>
    </xf>
    <xf numFmtId="167" fontId="3" fillId="0" borderId="0" xfId="1" applyNumberFormat="1" applyFont="1" applyAlignment="1">
      <alignment vertical="top"/>
    </xf>
    <xf numFmtId="167" fontId="4" fillId="0" borderId="11" xfId="1" applyNumberFormat="1" applyFont="1" applyBorder="1" applyAlignment="1">
      <alignment vertical="top"/>
    </xf>
    <xf numFmtId="167" fontId="3" fillId="0" borderId="0" xfId="1" applyNumberFormat="1" applyFont="1" applyFill="1" applyBorder="1" applyAlignment="1">
      <alignment vertical="top"/>
    </xf>
    <xf numFmtId="167" fontId="3" fillId="0" borderId="11" xfId="1" applyNumberFormat="1" applyFont="1" applyBorder="1" applyAlignment="1">
      <alignment vertical="top"/>
    </xf>
    <xf numFmtId="167" fontId="4" fillId="0" borderId="0" xfId="1" applyNumberFormat="1" applyFont="1" applyFill="1" applyBorder="1" applyAlignment="1">
      <alignment vertical="top"/>
    </xf>
    <xf numFmtId="167" fontId="4" fillId="0" borderId="17" xfId="1" applyNumberFormat="1" applyFont="1" applyFill="1" applyBorder="1" applyAlignment="1">
      <alignment vertical="top"/>
    </xf>
    <xf numFmtId="167" fontId="3" fillId="0" borderId="0" xfId="1" applyNumberFormat="1" applyFont="1" applyFill="1" applyBorder="1" applyAlignment="1">
      <alignment vertical="center" wrapText="1"/>
    </xf>
    <xf numFmtId="167" fontId="3" fillId="0" borderId="0" xfId="1" applyNumberFormat="1" applyFont="1" applyFill="1" applyBorder="1" applyAlignment="1">
      <alignment vertical="top" wrapText="1"/>
    </xf>
    <xf numFmtId="167" fontId="3" fillId="0" borderId="12" xfId="1" applyNumberFormat="1" applyFont="1" applyBorder="1" applyAlignment="1">
      <alignment horizontal="right"/>
    </xf>
    <xf numFmtId="167" fontId="4" fillId="0" borderId="20" xfId="1" applyNumberFormat="1" applyFont="1" applyBorder="1" applyAlignment="1">
      <alignment horizontal="right" vertical="top"/>
    </xf>
    <xf numFmtId="167" fontId="4" fillId="0" borderId="12" xfId="1" quotePrefix="1" applyNumberFormat="1" applyFont="1" applyBorder="1" applyAlignment="1">
      <alignment horizontal="right" vertical="top"/>
    </xf>
    <xf numFmtId="167" fontId="4" fillId="0" borderId="12" xfId="1" quotePrefix="1" applyNumberFormat="1" applyFont="1" applyBorder="1" applyAlignment="1">
      <alignment vertical="top"/>
    </xf>
    <xf numFmtId="167" fontId="4" fillId="0" borderId="12" xfId="1" applyNumberFormat="1" applyFont="1" applyBorder="1" applyAlignment="1">
      <alignment vertical="top"/>
    </xf>
    <xf numFmtId="167" fontId="3" fillId="0" borderId="12" xfId="1" applyNumberFormat="1" applyFont="1" applyBorder="1" applyAlignment="1">
      <alignment vertical="top"/>
    </xf>
    <xf numFmtId="167" fontId="4" fillId="0" borderId="30" xfId="1" applyNumberFormat="1" applyFont="1" applyBorder="1" applyAlignment="1">
      <alignment vertical="top"/>
    </xf>
    <xf numFmtId="167" fontId="4" fillId="0" borderId="15" xfId="1" applyNumberFormat="1" applyFont="1" applyBorder="1" applyAlignment="1">
      <alignment vertical="top"/>
    </xf>
    <xf numFmtId="38" fontId="4" fillId="0" borderId="7" xfId="6" applyNumberFormat="1" applyFont="1" applyBorder="1" applyAlignment="1">
      <alignment horizontal="right" vertical="top"/>
    </xf>
    <xf numFmtId="38" fontId="4" fillId="0" borderId="9" xfId="6" applyNumberFormat="1" applyFont="1" applyBorder="1" applyAlignment="1">
      <alignment horizontal="right" vertical="top"/>
    </xf>
    <xf numFmtId="164" fontId="3" fillId="0" borderId="9" xfId="1" applyFont="1" applyBorder="1" applyAlignment="1">
      <alignment vertical="center"/>
    </xf>
    <xf numFmtId="164" fontId="3" fillId="0" borderId="9" xfId="1" applyFont="1" applyBorder="1" applyAlignment="1">
      <alignment vertical="top"/>
    </xf>
    <xf numFmtId="164" fontId="3" fillId="0" borderId="9" xfId="1" quotePrefix="1" applyFont="1" applyBorder="1" applyAlignment="1">
      <alignment vertical="top"/>
    </xf>
    <xf numFmtId="164" fontId="3" fillId="0" borderId="9" xfId="1" applyFont="1" applyFill="1" applyBorder="1" applyAlignment="1">
      <alignment vertical="top"/>
    </xf>
    <xf numFmtId="164" fontId="3" fillId="0" borderId="9" xfId="1" quotePrefix="1" applyFont="1" applyFill="1" applyBorder="1" applyAlignment="1">
      <alignment vertical="top"/>
    </xf>
    <xf numFmtId="164" fontId="4" fillId="0" borderId="9" xfId="1" applyFont="1" applyBorder="1" applyAlignment="1">
      <alignment vertical="top"/>
    </xf>
    <xf numFmtId="167" fontId="3" fillId="0" borderId="12" xfId="1" applyNumberFormat="1" applyFont="1" applyFill="1" applyBorder="1" applyAlignment="1">
      <alignment vertical="top"/>
    </xf>
    <xf numFmtId="167" fontId="3" fillId="0" borderId="12" xfId="1" applyNumberFormat="1" applyFont="1" applyBorder="1" applyAlignment="1">
      <alignment vertical="center"/>
    </xf>
    <xf numFmtId="167" fontId="3" fillId="0" borderId="12" xfId="4" applyNumberFormat="1" applyFont="1" applyFill="1" applyBorder="1" applyAlignment="1">
      <alignment horizontal="right"/>
    </xf>
    <xf numFmtId="167" fontId="3" fillId="0" borderId="12" xfId="1" applyNumberFormat="1" applyFont="1" applyFill="1" applyBorder="1" applyAlignment="1">
      <alignment horizontal="right"/>
    </xf>
    <xf numFmtId="167" fontId="3" fillId="0" borderId="12" xfId="4" applyNumberFormat="1" applyFont="1" applyFill="1" applyBorder="1" applyAlignment="1">
      <alignment horizontal="center"/>
    </xf>
    <xf numFmtId="167" fontId="3" fillId="0" borderId="12" xfId="4" applyNumberFormat="1" applyFont="1" applyFill="1" applyBorder="1" applyAlignment="1">
      <alignment horizontal="center" wrapText="1"/>
    </xf>
    <xf numFmtId="167" fontId="4" fillId="0" borderId="12" xfId="1" applyNumberFormat="1" applyFont="1" applyFill="1" applyBorder="1" applyAlignment="1">
      <alignment vertical="top"/>
    </xf>
    <xf numFmtId="167" fontId="3" fillId="0" borderId="15" xfId="1" applyNumberFormat="1" applyFont="1" applyBorder="1" applyAlignment="1">
      <alignment vertical="top"/>
    </xf>
    <xf numFmtId="164" fontId="4" fillId="0" borderId="9" xfId="1" applyFont="1" applyFill="1" applyBorder="1" applyAlignment="1">
      <alignment vertical="top"/>
    </xf>
    <xf numFmtId="38" fontId="3" fillId="0" borderId="9" xfId="6" quotePrefix="1" applyNumberFormat="1" applyFont="1" applyFill="1" applyBorder="1" applyAlignment="1">
      <alignment vertical="top"/>
    </xf>
    <xf numFmtId="167" fontId="3" fillId="0" borderId="20" xfId="1" applyNumberFormat="1" applyFont="1" applyFill="1" applyBorder="1" applyAlignment="1">
      <alignment vertical="top"/>
    </xf>
    <xf numFmtId="167" fontId="4" fillId="0" borderId="19" xfId="1" applyNumberFormat="1" applyFont="1" applyBorder="1" applyAlignment="1">
      <alignment vertical="top"/>
    </xf>
    <xf numFmtId="38" fontId="4" fillId="0" borderId="7" xfId="6" applyNumberFormat="1" applyFont="1" applyFill="1" applyBorder="1" applyAlignment="1">
      <alignment vertical="top"/>
    </xf>
    <xf numFmtId="167" fontId="4" fillId="0" borderId="15" xfId="1" applyNumberFormat="1" applyFont="1" applyFill="1" applyBorder="1" applyAlignment="1">
      <alignment vertical="top"/>
    </xf>
    <xf numFmtId="0" fontId="18" fillId="0" borderId="14" xfId="1" applyNumberFormat="1" applyFont="1" applyFill="1" applyBorder="1" applyAlignment="1">
      <alignment horizontal="left" vertical="center" wrapText="1" indent="1"/>
    </xf>
    <xf numFmtId="167" fontId="17" fillId="0" borderId="0" xfId="1" applyNumberFormat="1" applyFont="1" applyFill="1" applyBorder="1" applyAlignment="1">
      <alignment horizontal="right"/>
    </xf>
    <xf numFmtId="167" fontId="17" fillId="0" borderId="0" xfId="1" applyNumberFormat="1" applyFont="1" applyFill="1" applyBorder="1"/>
    <xf numFmtId="0" fontId="17" fillId="0" borderId="14" xfId="1" applyNumberFormat="1" applyFont="1" applyFill="1" applyBorder="1" applyAlignment="1">
      <alignment horizontal="left" wrapText="1" indent="1"/>
    </xf>
    <xf numFmtId="0" fontId="17" fillId="0" borderId="14" xfId="1" applyNumberFormat="1" applyFont="1" applyFill="1" applyBorder="1" applyAlignment="1">
      <alignment horizontal="left" vertical="center" wrapText="1" indent="1"/>
    </xf>
    <xf numFmtId="0" fontId="18" fillId="0" borderId="21" xfId="1" applyNumberFormat="1" applyFont="1" applyFill="1" applyBorder="1" applyAlignment="1">
      <alignment horizontal="left" vertical="center" wrapText="1" indent="1"/>
    </xf>
    <xf numFmtId="164" fontId="18" fillId="0" borderId="21" xfId="1" applyFont="1" applyFill="1" applyBorder="1" applyAlignment="1"/>
    <xf numFmtId="164" fontId="18" fillId="0" borderId="21" xfId="1" applyFont="1" applyFill="1" applyBorder="1" applyAlignment="1">
      <alignment vertical="center"/>
    </xf>
    <xf numFmtId="167" fontId="18" fillId="0" borderId="27" xfId="1" applyNumberFormat="1" applyFont="1" applyFill="1" applyBorder="1" applyAlignment="1"/>
    <xf numFmtId="0" fontId="19" fillId="0" borderId="24" xfId="3" applyFont="1" applyBorder="1"/>
    <xf numFmtId="165" fontId="19" fillId="0" borderId="24" xfId="3" applyNumberFormat="1" applyFont="1" applyBorder="1" applyAlignment="1">
      <alignment horizontal="center"/>
    </xf>
    <xf numFmtId="165" fontId="19" fillId="0" borderId="24" xfId="3" quotePrefix="1" applyNumberFormat="1" applyFont="1" applyBorder="1" applyAlignment="1">
      <alignment horizontal="center"/>
    </xf>
    <xf numFmtId="38" fontId="20" fillId="0" borderId="24" xfId="4" applyNumberFormat="1" applyFont="1" applyFill="1" applyBorder="1" applyAlignment="1">
      <alignment horizontal="center"/>
    </xf>
    <xf numFmtId="38" fontId="19" fillId="0" borderId="24" xfId="4" applyNumberFormat="1" applyFont="1" applyFill="1" applyBorder="1" applyAlignment="1">
      <alignment horizontal="center"/>
    </xf>
    <xf numFmtId="0" fontId="19" fillId="0" borderId="24" xfId="3" applyFont="1" applyBorder="1" applyAlignment="1">
      <alignment horizontal="center"/>
    </xf>
    <xf numFmtId="43" fontId="19" fillId="0" borderId="24" xfId="3" applyNumberFormat="1" applyFont="1" applyBorder="1"/>
    <xf numFmtId="164" fontId="21" fillId="0" borderId="14" xfId="1" applyFont="1" applyFill="1" applyBorder="1"/>
    <xf numFmtId="0" fontId="21" fillId="0" borderId="0" xfId="3" applyFont="1"/>
    <xf numFmtId="164" fontId="21" fillId="0" borderId="24" xfId="1" applyFont="1" applyFill="1" applyBorder="1"/>
    <xf numFmtId="164" fontId="19" fillId="0" borderId="24" xfId="1" applyFont="1" applyFill="1" applyBorder="1" applyAlignment="1">
      <alignment horizontal="right"/>
    </xf>
    <xf numFmtId="164" fontId="22" fillId="0" borderId="24" xfId="1" applyFont="1" applyFill="1" applyBorder="1" applyAlignment="1">
      <alignment horizontal="right"/>
    </xf>
    <xf numFmtId="43" fontId="22" fillId="2" borderId="24" xfId="4" applyFont="1" applyFill="1" applyBorder="1" applyAlignment="1">
      <alignment horizontal="right"/>
    </xf>
    <xf numFmtId="43" fontId="22" fillId="2" borderId="21" xfId="4" applyFont="1" applyFill="1" applyBorder="1" applyAlignment="1">
      <alignment horizontal="right"/>
    </xf>
    <xf numFmtId="164" fontId="21" fillId="0" borderId="21" xfId="1" applyFont="1" applyFill="1" applyBorder="1"/>
    <xf numFmtId="164" fontId="21" fillId="0" borderId="25" xfId="1" applyFont="1" applyFill="1" applyBorder="1"/>
    <xf numFmtId="165" fontId="3" fillId="0" borderId="0" xfId="3" applyNumberFormat="1"/>
    <xf numFmtId="38" fontId="3" fillId="0" borderId="0" xfId="3" applyNumberFormat="1"/>
    <xf numFmtId="164" fontId="3" fillId="0" borderId="0" xfId="3" applyNumberFormat="1"/>
    <xf numFmtId="164" fontId="22" fillId="0" borderId="21" xfId="1" applyFont="1" applyFill="1" applyBorder="1"/>
    <xf numFmtId="43" fontId="22" fillId="5" borderId="24" xfId="4" applyFont="1" applyFill="1" applyBorder="1" applyAlignment="1">
      <alignment horizontal="right"/>
    </xf>
    <xf numFmtId="43" fontId="22" fillId="5" borderId="21" xfId="4" applyFont="1" applyFill="1" applyBorder="1" applyAlignment="1">
      <alignment horizontal="right"/>
    </xf>
    <xf numFmtId="164" fontId="19" fillId="0" borderId="21" xfId="1" applyFont="1" applyFill="1" applyBorder="1"/>
    <xf numFmtId="165" fontId="19" fillId="5" borderId="24" xfId="3" applyNumberFormat="1" applyFont="1" applyFill="1" applyBorder="1"/>
    <xf numFmtId="165" fontId="19" fillId="0" borderId="24" xfId="3" applyNumberFormat="1" applyFont="1" applyBorder="1"/>
    <xf numFmtId="165" fontId="23" fillId="0" borderId="24" xfId="3" applyNumberFormat="1" applyFont="1" applyBorder="1" applyAlignment="1">
      <alignment horizontal="left"/>
    </xf>
    <xf numFmtId="165" fontId="23" fillId="0" borderId="24" xfId="3" applyNumberFormat="1" applyFont="1" applyBorder="1" applyAlignment="1">
      <alignment horizontal="left" vertical="center" wrapText="1"/>
    </xf>
    <xf numFmtId="165" fontId="19" fillId="0" borderId="24" xfId="3" applyNumberFormat="1" applyFont="1" applyBorder="1" applyAlignment="1">
      <alignment horizontal="left"/>
    </xf>
    <xf numFmtId="165" fontId="19" fillId="0" borderId="12" xfId="3" applyNumberFormat="1" applyFont="1" applyBorder="1" applyAlignment="1">
      <alignment horizontal="center"/>
    </xf>
    <xf numFmtId="165" fontId="19" fillId="0" borderId="12" xfId="3" applyNumberFormat="1" applyFont="1" applyBorder="1" applyAlignment="1">
      <alignment horizontal="left"/>
    </xf>
    <xf numFmtId="165" fontId="21" fillId="0" borderId="12" xfId="3" applyNumberFormat="1" applyFont="1" applyBorder="1" applyAlignment="1">
      <alignment horizontal="left"/>
    </xf>
    <xf numFmtId="165" fontId="19" fillId="0" borderId="16" xfId="3" applyNumberFormat="1" applyFont="1" applyBorder="1" applyAlignment="1">
      <alignment horizontal="center"/>
    </xf>
    <xf numFmtId="165" fontId="19" fillId="0" borderId="12" xfId="3" applyNumberFormat="1" applyFont="1" applyBorder="1" applyAlignment="1">
      <alignment horizontal="left" wrapText="1"/>
    </xf>
    <xf numFmtId="165" fontId="21" fillId="0" borderId="12" xfId="3" applyNumberFormat="1" applyFont="1" applyBorder="1"/>
    <xf numFmtId="165" fontId="19" fillId="0" borderId="16" xfId="3" applyNumberFormat="1" applyFont="1" applyBorder="1" applyAlignment="1">
      <alignment horizontal="left"/>
    </xf>
    <xf numFmtId="165" fontId="21" fillId="0" borderId="12" xfId="3" applyNumberFormat="1" applyFont="1" applyBorder="1" applyAlignment="1">
      <alignment horizontal="left" vertical="center" wrapText="1"/>
    </xf>
    <xf numFmtId="165" fontId="19" fillId="0" borderId="16" xfId="3" applyNumberFormat="1" applyFont="1" applyBorder="1" applyAlignment="1">
      <alignment horizontal="left" vertical="center" wrapText="1"/>
    </xf>
    <xf numFmtId="165" fontId="19" fillId="0" borderId="12" xfId="3" applyNumberFormat="1" applyFont="1" applyBorder="1"/>
    <xf numFmtId="165" fontId="19" fillId="0" borderId="16" xfId="3" applyNumberFormat="1" applyFont="1" applyBorder="1"/>
    <xf numFmtId="165" fontId="21" fillId="0" borderId="12" xfId="3" applyNumberFormat="1" applyFont="1" applyBorder="1" applyAlignment="1">
      <alignment vertical="center" wrapText="1"/>
    </xf>
    <xf numFmtId="10" fontId="21" fillId="0" borderId="12" xfId="9" applyNumberFormat="1" applyFont="1" applyFill="1" applyBorder="1" applyAlignment="1">
      <alignment horizontal="left" vertical="justify"/>
    </xf>
    <xf numFmtId="0" fontId="21" fillId="0" borderId="12" xfId="3" applyFont="1" applyBorder="1" applyAlignment="1">
      <alignment horizontal="left"/>
    </xf>
    <xf numFmtId="0" fontId="19" fillId="0" borderId="16" xfId="3" applyFont="1" applyBorder="1"/>
    <xf numFmtId="164" fontId="19" fillId="0" borderId="12" xfId="1" applyFont="1" applyFill="1" applyBorder="1" applyAlignment="1">
      <alignment horizontal="left" vertical="center" wrapText="1"/>
    </xf>
    <xf numFmtId="0" fontId="21" fillId="0" borderId="12" xfId="1" applyNumberFormat="1" applyFont="1" applyFill="1" applyBorder="1" applyAlignment="1">
      <alignment horizontal="left" vertical="center" wrapText="1"/>
    </xf>
    <xf numFmtId="0" fontId="21" fillId="0" borderId="12" xfId="3" applyFont="1" applyBorder="1" applyAlignment="1">
      <alignment horizontal="left" vertical="center" wrapText="1"/>
    </xf>
    <xf numFmtId="0" fontId="21" fillId="0" borderId="12" xfId="3" applyFont="1" applyBorder="1" applyAlignment="1">
      <alignment wrapText="1"/>
    </xf>
    <xf numFmtId="0" fontId="21" fillId="0" borderId="12" xfId="3" applyFont="1" applyBorder="1" applyAlignment="1">
      <alignment horizontal="left" wrapText="1"/>
    </xf>
    <xf numFmtId="0" fontId="21" fillId="0" borderId="12" xfId="3" applyFont="1" applyBorder="1"/>
    <xf numFmtId="165" fontId="21" fillId="0" borderId="12" xfId="3" applyNumberFormat="1" applyFont="1" applyBorder="1" applyAlignment="1">
      <alignment horizontal="left" wrapText="1"/>
    </xf>
    <xf numFmtId="165" fontId="19" fillId="0" borderId="6" xfId="3" applyNumberFormat="1" applyFont="1" applyBorder="1" applyAlignment="1">
      <alignment horizontal="left" wrapText="1"/>
    </xf>
    <xf numFmtId="164" fontId="19" fillId="0" borderId="6" xfId="1" applyFont="1" applyFill="1" applyBorder="1" applyAlignment="1">
      <alignment horizontal="left" vertical="center" wrapText="1"/>
    </xf>
    <xf numFmtId="164" fontId="19" fillId="0" borderId="0" xfId="1" applyFont="1" applyFill="1" applyBorder="1" applyAlignment="1">
      <alignment horizontal="left" vertical="center" wrapText="1"/>
    </xf>
    <xf numFmtId="165" fontId="19" fillId="0" borderId="16" xfId="3" applyNumberFormat="1" applyFont="1" applyBorder="1" applyAlignment="1">
      <alignment horizontal="left" wrapText="1"/>
    </xf>
    <xf numFmtId="165" fontId="19" fillId="0" borderId="12" xfId="3" applyNumberFormat="1" applyFont="1" applyBorder="1" applyAlignment="1">
      <alignment horizontal="left" vertical="center" wrapText="1"/>
    </xf>
    <xf numFmtId="0" fontId="19" fillId="0" borderId="12" xfId="3" applyFont="1" applyBorder="1"/>
    <xf numFmtId="0" fontId="19" fillId="0" borderId="12" xfId="3" applyFont="1" applyBorder="1" applyAlignment="1">
      <alignment horizontal="left" vertical="center" wrapText="1"/>
    </xf>
    <xf numFmtId="0" fontId="19" fillId="0" borderId="6" xfId="3" applyFont="1" applyBorder="1"/>
    <xf numFmtId="0" fontId="21" fillId="0" borderId="12" xfId="3" applyFont="1" applyBorder="1" applyAlignment="1">
      <alignment vertical="center" wrapText="1"/>
    </xf>
    <xf numFmtId="0" fontId="19" fillId="0" borderId="16" xfId="3" applyFont="1" applyBorder="1" applyAlignment="1">
      <alignment vertical="center" wrapText="1"/>
    </xf>
    <xf numFmtId="0" fontId="19" fillId="0" borderId="12" xfId="3" applyFont="1" applyBorder="1" applyAlignment="1">
      <alignment vertical="center" wrapText="1"/>
    </xf>
    <xf numFmtId="0" fontId="19" fillId="0" borderId="24" xfId="3" applyFont="1" applyBorder="1" applyAlignment="1">
      <alignment vertical="center" wrapText="1"/>
    </xf>
    <xf numFmtId="0" fontId="23" fillId="0" borderId="12" xfId="3" applyFont="1" applyBorder="1"/>
    <xf numFmtId="165" fontId="19" fillId="0" borderId="12" xfId="3" applyNumberFormat="1" applyFont="1" applyBorder="1" applyAlignment="1">
      <alignment wrapText="1"/>
    </xf>
    <xf numFmtId="164" fontId="21" fillId="0" borderId="12" xfId="1" applyFont="1" applyFill="1" applyBorder="1" applyAlignment="1">
      <alignment horizontal="left" vertical="center" wrapText="1"/>
    </xf>
    <xf numFmtId="0" fontId="21" fillId="0" borderId="14" xfId="1" applyNumberFormat="1" applyFont="1" applyFill="1" applyBorder="1" applyAlignment="1">
      <alignment horizontal="left" vertical="center" wrapText="1"/>
    </xf>
    <xf numFmtId="165" fontId="19" fillId="0" borderId="16" xfId="3" applyNumberFormat="1" applyFont="1" applyBorder="1" applyAlignment="1">
      <alignment wrapText="1"/>
    </xf>
    <xf numFmtId="165" fontId="19" fillId="0" borderId="12" xfId="3" applyNumberFormat="1" applyFont="1" applyBorder="1" applyAlignment="1">
      <alignment vertical="center" wrapText="1"/>
    </xf>
    <xf numFmtId="165" fontId="19" fillId="0" borderId="16" xfId="3" applyNumberFormat="1" applyFont="1" applyBorder="1" applyAlignment="1">
      <alignment vertical="center" wrapText="1"/>
    </xf>
    <xf numFmtId="165" fontId="19" fillId="0" borderId="32" xfId="3" applyNumberFormat="1" applyFont="1" applyBorder="1" applyAlignment="1">
      <alignment horizontal="left"/>
    </xf>
    <xf numFmtId="165" fontId="19" fillId="0" borderId="32" xfId="3" applyNumberFormat="1" applyFont="1" applyBorder="1"/>
    <xf numFmtId="165" fontId="19" fillId="0" borderId="12" xfId="3" quotePrefix="1" applyNumberFormat="1" applyFont="1" applyBorder="1" applyAlignment="1">
      <alignment horizontal="left" vertical="center" wrapText="1"/>
    </xf>
    <xf numFmtId="165" fontId="19" fillId="0" borderId="14" xfId="3" applyNumberFormat="1" applyFont="1" applyBorder="1"/>
    <xf numFmtId="165" fontId="19" fillId="0" borderId="21" xfId="3" applyNumberFormat="1" applyFont="1" applyBorder="1" applyAlignment="1">
      <alignment horizontal="left"/>
    </xf>
    <xf numFmtId="165" fontId="19" fillId="0" borderId="34" xfId="3" applyNumberFormat="1" applyFont="1" applyBorder="1" applyAlignment="1">
      <alignment horizontal="left"/>
    </xf>
    <xf numFmtId="165" fontId="19" fillId="0" borderId="31" xfId="3" applyNumberFormat="1" applyFont="1" applyBorder="1" applyAlignment="1">
      <alignment horizontal="left"/>
    </xf>
    <xf numFmtId="165" fontId="19" fillId="0" borderId="35" xfId="3" applyNumberFormat="1" applyFont="1" applyBorder="1" applyAlignment="1">
      <alignment horizontal="left"/>
    </xf>
    <xf numFmtId="165" fontId="19" fillId="0" borderId="36" xfId="3" applyNumberFormat="1" applyFont="1" applyBorder="1"/>
    <xf numFmtId="165" fontId="19" fillId="0" borderId="32" xfId="3" applyNumberFormat="1" applyFont="1" applyBorder="1" applyAlignment="1">
      <alignment horizontal="center"/>
    </xf>
    <xf numFmtId="165" fontId="19" fillId="0" borderId="15" xfId="3" applyNumberFormat="1" applyFont="1" applyBorder="1" applyAlignment="1">
      <alignment horizontal="left"/>
    </xf>
    <xf numFmtId="164" fontId="26" fillId="4" borderId="14" xfId="1" applyFont="1" applyFill="1" applyBorder="1" applyAlignment="1"/>
    <xf numFmtId="0" fontId="19" fillId="0" borderId="24" xfId="3" quotePrefix="1" applyFont="1" applyBorder="1" applyAlignment="1">
      <alignment horizontal="center"/>
    </xf>
    <xf numFmtId="165" fontId="20" fillId="0" borderId="24" xfId="4" applyNumberFormat="1" applyFont="1" applyFill="1" applyBorder="1" applyAlignment="1">
      <alignment horizontal="center"/>
    </xf>
    <xf numFmtId="43" fontId="21" fillId="0" borderId="14" xfId="1" applyNumberFormat="1" applyFont="1" applyFill="1" applyBorder="1"/>
    <xf numFmtId="0" fontId="19" fillId="0" borderId="0" xfId="3" applyFont="1"/>
    <xf numFmtId="43" fontId="19" fillId="0" borderId="0" xfId="3" applyNumberFormat="1" applyFont="1"/>
    <xf numFmtId="164" fontId="21" fillId="0" borderId="0" xfId="1" applyFont="1" applyFill="1" applyBorder="1"/>
    <xf numFmtId="164" fontId="22" fillId="0" borderId="0" xfId="1" applyFont="1" applyFill="1" applyBorder="1" applyAlignment="1">
      <alignment horizontal="right"/>
    </xf>
    <xf numFmtId="164" fontId="19" fillId="0" borderId="0" xfId="1" applyFont="1" applyFill="1" applyBorder="1"/>
    <xf numFmtId="165" fontId="19" fillId="0" borderId="0" xfId="4" applyNumberFormat="1" applyFont="1" applyFill="1" applyBorder="1" applyAlignment="1">
      <alignment horizontal="center"/>
    </xf>
    <xf numFmtId="165" fontId="19" fillId="0" borderId="0" xfId="3" applyNumberFormat="1" applyFont="1" applyAlignment="1">
      <alignment horizontal="center"/>
    </xf>
    <xf numFmtId="38" fontId="19" fillId="0" borderId="0" xfId="3" applyNumberFormat="1" applyFont="1" applyAlignment="1">
      <alignment horizontal="center"/>
    </xf>
    <xf numFmtId="38" fontId="19" fillId="0" borderId="0" xfId="3" applyNumberFormat="1" applyFont="1"/>
    <xf numFmtId="43" fontId="21" fillId="0" borderId="0" xfId="1" applyNumberFormat="1" applyFont="1" applyFill="1" applyBorder="1"/>
    <xf numFmtId="43" fontId="22" fillId="0" borderId="0" xfId="1" applyNumberFormat="1" applyFont="1" applyFill="1" applyBorder="1" applyAlignment="1">
      <alignment horizontal="right"/>
    </xf>
    <xf numFmtId="0" fontId="21" fillId="0" borderId="0" xfId="1" applyNumberFormat="1" applyFont="1" applyFill="1" applyBorder="1"/>
    <xf numFmtId="164" fontId="22" fillId="5" borderId="0" xfId="4" applyNumberFormat="1" applyFont="1" applyFill="1" applyBorder="1" applyAlignment="1">
      <alignment horizontal="right"/>
    </xf>
    <xf numFmtId="43" fontId="21" fillId="0" borderId="10" xfId="1" applyNumberFormat="1" applyFont="1" applyFill="1" applyBorder="1"/>
    <xf numFmtId="43" fontId="21" fillId="0" borderId="5" xfId="1" applyNumberFormat="1" applyFont="1" applyFill="1" applyBorder="1"/>
    <xf numFmtId="164" fontId="21" fillId="0" borderId="5" xfId="1" applyFont="1" applyFill="1" applyBorder="1"/>
    <xf numFmtId="164" fontId="22" fillId="0" borderId="5" xfId="1" applyFont="1" applyFill="1" applyBorder="1" applyAlignment="1">
      <alignment horizontal="right"/>
    </xf>
    <xf numFmtId="164" fontId="22" fillId="0" borderId="10" xfId="1" applyFont="1" applyFill="1" applyBorder="1" applyAlignment="1">
      <alignment horizontal="right"/>
    </xf>
    <xf numFmtId="164" fontId="19" fillId="0" borderId="37" xfId="1" applyFont="1" applyFill="1" applyBorder="1"/>
    <xf numFmtId="164" fontId="21" fillId="0" borderId="37" xfId="1" applyFont="1" applyFill="1" applyBorder="1"/>
    <xf numFmtId="164" fontId="21" fillId="0" borderId="37" xfId="1" applyFont="1" applyFill="1" applyBorder="1" applyAlignment="1">
      <alignment horizontal="left" indent="1"/>
    </xf>
    <xf numFmtId="164" fontId="22" fillId="5" borderId="37" xfId="4" applyNumberFormat="1" applyFont="1" applyFill="1" applyBorder="1" applyAlignment="1">
      <alignment horizontal="right"/>
    </xf>
    <xf numFmtId="43" fontId="21" fillId="0" borderId="37" xfId="1" applyNumberFormat="1" applyFont="1" applyFill="1" applyBorder="1"/>
    <xf numFmtId="43" fontId="22" fillId="5" borderId="37" xfId="4" applyFont="1" applyFill="1" applyBorder="1" applyAlignment="1">
      <alignment horizontal="right"/>
    </xf>
    <xf numFmtId="43" fontId="19" fillId="0" borderId="37" xfId="1" applyNumberFormat="1" applyFont="1" applyFill="1" applyBorder="1"/>
    <xf numFmtId="164" fontId="0" fillId="0" borderId="37" xfId="0" applyNumberFormat="1" applyBorder="1"/>
    <xf numFmtId="43" fontId="0" fillId="0" borderId="0" xfId="0" applyNumberFormat="1"/>
    <xf numFmtId="0" fontId="21" fillId="0" borderId="24" xfId="1" applyNumberFormat="1" applyFont="1" applyFill="1" applyBorder="1"/>
    <xf numFmtId="165" fontId="21" fillId="0" borderId="24" xfId="1" applyNumberFormat="1" applyFont="1" applyFill="1" applyBorder="1"/>
    <xf numFmtId="38" fontId="21" fillId="0" borderId="24" xfId="1" applyNumberFormat="1" applyFont="1" applyFill="1" applyBorder="1"/>
    <xf numFmtId="164" fontId="22" fillId="2" borderId="24" xfId="4" applyNumberFormat="1" applyFont="1" applyFill="1" applyBorder="1" applyAlignment="1">
      <alignment horizontal="right"/>
    </xf>
    <xf numFmtId="164" fontId="22" fillId="2" borderId="21" xfId="4" applyNumberFormat="1" applyFont="1" applyFill="1" applyBorder="1" applyAlignment="1">
      <alignment horizontal="right"/>
    </xf>
    <xf numFmtId="164" fontId="22" fillId="0" borderId="27" xfId="1" applyFont="1" applyFill="1" applyBorder="1" applyAlignment="1">
      <alignment horizontal="right"/>
    </xf>
    <xf numFmtId="43" fontId="21" fillId="0" borderId="24" xfId="1" applyNumberFormat="1" applyFont="1" applyFill="1" applyBorder="1"/>
    <xf numFmtId="164" fontId="21" fillId="0" borderId="0" xfId="3" applyNumberFormat="1" applyFont="1"/>
    <xf numFmtId="164" fontId="21" fillId="0" borderId="12" xfId="1" applyFont="1" applyFill="1" applyBorder="1"/>
    <xf numFmtId="164" fontId="22" fillId="0" borderId="25" xfId="1" applyFont="1" applyFill="1" applyBorder="1" applyAlignment="1">
      <alignment horizontal="right"/>
    </xf>
    <xf numFmtId="164" fontId="22" fillId="0" borderId="14" xfId="1" applyFont="1" applyFill="1" applyBorder="1" applyAlignment="1">
      <alignment horizontal="right"/>
    </xf>
    <xf numFmtId="164" fontId="19" fillId="0" borderId="24" xfId="1" applyFont="1" applyFill="1" applyBorder="1"/>
    <xf numFmtId="164" fontId="23" fillId="0" borderId="24" xfId="1" applyFont="1" applyFill="1" applyBorder="1" applyAlignment="1">
      <alignment horizontal="right"/>
    </xf>
    <xf numFmtId="43" fontId="19" fillId="0" borderId="24" xfId="1" applyNumberFormat="1" applyFont="1" applyFill="1" applyBorder="1"/>
    <xf numFmtId="164" fontId="21" fillId="0" borderId="22" xfId="1" applyFont="1" applyFill="1" applyBorder="1"/>
    <xf numFmtId="0" fontId="24" fillId="6" borderId="0" xfId="0" applyFont="1" applyFill="1"/>
    <xf numFmtId="165" fontId="19" fillId="6" borderId="24" xfId="3" applyNumberFormat="1" applyFont="1" applyFill="1" applyBorder="1" applyAlignment="1">
      <alignment horizontal="center"/>
    </xf>
    <xf numFmtId="165" fontId="19" fillId="6" borderId="24" xfId="3" quotePrefix="1" applyNumberFormat="1" applyFont="1" applyFill="1" applyBorder="1" applyAlignment="1">
      <alignment horizontal="center"/>
    </xf>
    <xf numFmtId="38" fontId="20" fillId="6" borderId="24" xfId="4" applyNumberFormat="1" applyFont="1" applyFill="1" applyBorder="1" applyAlignment="1">
      <alignment horizontal="center"/>
    </xf>
    <xf numFmtId="43" fontId="24" fillId="6" borderId="0" xfId="0" applyNumberFormat="1" applyFont="1" applyFill="1"/>
    <xf numFmtId="43" fontId="24" fillId="6" borderId="24" xfId="0" applyNumberFormat="1" applyFont="1" applyFill="1" applyBorder="1"/>
    <xf numFmtId="43" fontId="25" fillId="6" borderId="24" xfId="0" applyNumberFormat="1" applyFont="1" applyFill="1" applyBorder="1"/>
    <xf numFmtId="164" fontId="19" fillId="0" borderId="7" xfId="1" applyFont="1" applyFill="1" applyBorder="1"/>
    <xf numFmtId="164" fontId="17" fillId="0" borderId="0" xfId="1" applyFont="1" applyFill="1" applyBorder="1" applyAlignment="1"/>
    <xf numFmtId="164" fontId="18" fillId="0" borderId="14" xfId="1" applyFont="1" applyFill="1" applyBorder="1" applyAlignment="1">
      <alignment horizontal="center"/>
    </xf>
    <xf numFmtId="164" fontId="18" fillId="0" borderId="14" xfId="3" quotePrefix="1" applyNumberFormat="1" applyFont="1" applyBorder="1" applyAlignment="1">
      <alignment horizontal="center"/>
    </xf>
    <xf numFmtId="164" fontId="17" fillId="0" borderId="25" xfId="3" applyNumberFormat="1" applyFont="1" applyBorder="1" applyAlignment="1">
      <alignment horizontal="center"/>
    </xf>
    <xf numFmtId="164" fontId="17" fillId="0" borderId="13" xfId="3" applyNumberFormat="1" applyFont="1" applyBorder="1" applyAlignment="1">
      <alignment horizontal="center"/>
    </xf>
    <xf numFmtId="164" fontId="17" fillId="0" borderId="0" xfId="3" applyNumberFormat="1" applyFont="1"/>
    <xf numFmtId="164" fontId="17" fillId="0" borderId="0" xfId="3" applyNumberFormat="1" applyFont="1" applyAlignment="1">
      <alignment horizontal="right"/>
    </xf>
    <xf numFmtId="164" fontId="17" fillId="0" borderId="0" xfId="1" applyFont="1" applyFill="1" applyBorder="1" applyAlignment="1">
      <alignment horizontal="right"/>
    </xf>
    <xf numFmtId="164" fontId="17" fillId="0" borderId="0" xfId="4" applyNumberFormat="1" applyFont="1" applyFill="1" applyBorder="1" applyAlignment="1">
      <alignment horizontal="right"/>
    </xf>
    <xf numFmtId="164" fontId="17" fillId="0" borderId="0" xfId="4" applyNumberFormat="1" applyFont="1" applyFill="1" applyBorder="1" applyAlignment="1">
      <alignment horizontal="left"/>
    </xf>
    <xf numFmtId="164" fontId="16" fillId="7" borderId="0" xfId="1" applyFont="1" applyFill="1" applyBorder="1" applyAlignment="1">
      <alignment horizontal="center"/>
    </xf>
    <xf numFmtId="164" fontId="16" fillId="7" borderId="0" xfId="1" quotePrefix="1" applyFont="1" applyFill="1" applyBorder="1" applyAlignment="1">
      <alignment horizontal="center"/>
    </xf>
    <xf numFmtId="164" fontId="16" fillId="7" borderId="0" xfId="1" applyFont="1" applyFill="1" applyBorder="1" applyAlignment="1"/>
    <xf numFmtId="43" fontId="22" fillId="2" borderId="24" xfId="1" applyNumberFormat="1" applyFont="1" applyFill="1" applyBorder="1" applyAlignment="1" applyProtection="1">
      <alignment horizontal="right"/>
    </xf>
    <xf numFmtId="164" fontId="22" fillId="0" borderId="14" xfId="1" applyFont="1" applyFill="1" applyBorder="1" applyAlignment="1" applyProtection="1">
      <alignment horizontal="right"/>
    </xf>
    <xf numFmtId="43" fontId="22" fillId="0" borderId="24" xfId="4" applyFont="1" applyFill="1" applyBorder="1" applyAlignment="1">
      <alignment horizontal="right" vertical="center"/>
    </xf>
    <xf numFmtId="164" fontId="19" fillId="0" borderId="14" xfId="1" applyFont="1" applyFill="1" applyBorder="1"/>
    <xf numFmtId="164" fontId="22" fillId="3" borderId="24" xfId="1" applyFont="1" applyFill="1" applyBorder="1" applyAlignment="1">
      <alignment horizontal="right"/>
    </xf>
    <xf numFmtId="0" fontId="26" fillId="8" borderId="0" xfId="3" applyFont="1" applyFill="1"/>
    <xf numFmtId="165" fontId="29" fillId="8" borderId="0" xfId="3" applyNumberFormat="1" applyFont="1" applyFill="1"/>
    <xf numFmtId="38" fontId="29" fillId="8" borderId="0" xfId="3" applyNumberFormat="1" applyFont="1" applyFill="1"/>
    <xf numFmtId="0" fontId="29" fillId="8" borderId="0" xfId="3" applyFont="1" applyFill="1"/>
    <xf numFmtId="164" fontId="29" fillId="8" borderId="0" xfId="3" applyNumberFormat="1" applyFont="1" applyFill="1"/>
    <xf numFmtId="164" fontId="26" fillId="8" borderId="0" xfId="3" applyNumberFormat="1" applyFont="1" applyFill="1"/>
    <xf numFmtId="164" fontId="30" fillId="8" borderId="14" xfId="1" applyFont="1" applyFill="1" applyBorder="1"/>
    <xf numFmtId="43" fontId="30" fillId="8" borderId="14" xfId="1" applyNumberFormat="1" applyFont="1" applyFill="1" applyBorder="1"/>
    <xf numFmtId="43" fontId="31" fillId="8" borderId="24" xfId="1" applyNumberFormat="1" applyFont="1" applyFill="1" applyBorder="1" applyAlignment="1">
      <alignment horizontal="right"/>
    </xf>
    <xf numFmtId="43" fontId="31" fillId="8" borderId="14" xfId="1" applyNumberFormat="1" applyFont="1" applyFill="1" applyBorder="1" applyAlignment="1">
      <alignment horizontal="right"/>
    </xf>
    <xf numFmtId="0" fontId="30" fillId="8" borderId="14" xfId="1" applyNumberFormat="1" applyFont="1" applyFill="1" applyBorder="1"/>
    <xf numFmtId="164" fontId="31" fillId="8" borderId="24" xfId="1" applyFont="1" applyFill="1" applyBorder="1" applyAlignment="1">
      <alignment horizontal="right"/>
    </xf>
    <xf numFmtId="164" fontId="31" fillId="8" borderId="14" xfId="1" applyFont="1" applyFill="1" applyBorder="1" applyAlignment="1">
      <alignment horizontal="right"/>
    </xf>
    <xf numFmtId="164" fontId="30" fillId="8" borderId="0" xfId="1" applyFont="1" applyFill="1" applyBorder="1"/>
    <xf numFmtId="164" fontId="31" fillId="8" borderId="24" xfId="4" applyNumberFormat="1" applyFont="1" applyFill="1" applyBorder="1" applyAlignment="1">
      <alignment horizontal="right"/>
    </xf>
    <xf numFmtId="164" fontId="31" fillId="8" borderId="14" xfId="4" applyNumberFormat="1" applyFont="1" applyFill="1" applyBorder="1" applyAlignment="1">
      <alignment horizontal="right"/>
    </xf>
    <xf numFmtId="164" fontId="30" fillId="8" borderId="9" xfId="1" applyFont="1" applyFill="1" applyBorder="1"/>
    <xf numFmtId="164" fontId="30" fillId="8" borderId="24" xfId="1" applyFont="1" applyFill="1" applyBorder="1"/>
    <xf numFmtId="0" fontId="30" fillId="8" borderId="0" xfId="1" applyNumberFormat="1" applyFont="1" applyFill="1" applyBorder="1"/>
    <xf numFmtId="43" fontId="30" fillId="8" borderId="0" xfId="1" applyNumberFormat="1" applyFont="1" applyFill="1" applyBorder="1"/>
    <xf numFmtId="164" fontId="28" fillId="8" borderId="0" xfId="0" applyNumberFormat="1" applyFont="1" applyFill="1"/>
    <xf numFmtId="0" fontId="28" fillId="8" borderId="0" xfId="0" applyFont="1" applyFill="1"/>
    <xf numFmtId="43" fontId="21" fillId="0" borderId="16" xfId="1" applyNumberFormat="1" applyFont="1" applyFill="1" applyBorder="1"/>
    <xf numFmtId="164" fontId="32" fillId="8" borderId="24" xfId="1" applyFont="1" applyFill="1" applyBorder="1"/>
    <xf numFmtId="164" fontId="4" fillId="0" borderId="24" xfId="3" applyNumberFormat="1" applyFont="1" applyBorder="1"/>
    <xf numFmtId="43" fontId="19" fillId="0" borderId="0" xfId="1" applyNumberFormat="1" applyFont="1" applyFill="1" applyBorder="1" applyAlignment="1">
      <alignment horizontal="left" vertical="center" wrapText="1"/>
    </xf>
    <xf numFmtId="164" fontId="18" fillId="0" borderId="27" xfId="1" applyFont="1" applyFill="1" applyBorder="1" applyAlignment="1"/>
    <xf numFmtId="164" fontId="18" fillId="0" borderId="27" xfId="1" applyFont="1" applyFill="1" applyBorder="1" applyAlignment="1">
      <alignment vertical="center"/>
    </xf>
    <xf numFmtId="17" fontId="19" fillId="0" borderId="0" xfId="3" applyNumberFormat="1" applyFont="1"/>
    <xf numFmtId="0" fontId="0" fillId="13" borderId="0" xfId="0" applyFill="1"/>
    <xf numFmtId="0" fontId="20" fillId="9" borderId="0" xfId="3" applyFont="1" applyFill="1"/>
    <xf numFmtId="165" fontId="19" fillId="5" borderId="0" xfId="3" applyNumberFormat="1" applyFont="1" applyFill="1"/>
    <xf numFmtId="165" fontId="0" fillId="0" borderId="0" xfId="0" applyNumberFormat="1"/>
    <xf numFmtId="165" fontId="19" fillId="0" borderId="0" xfId="3" quotePrefix="1" applyNumberFormat="1" applyFont="1" applyAlignment="1">
      <alignment horizontal="center"/>
    </xf>
    <xf numFmtId="38" fontId="20" fillId="0" borderId="0" xfId="4" applyNumberFormat="1" applyFont="1" applyFill="1" applyBorder="1" applyAlignment="1">
      <alignment horizontal="center"/>
    </xf>
    <xf numFmtId="38" fontId="0" fillId="0" borderId="0" xfId="0" applyNumberFormat="1"/>
    <xf numFmtId="165" fontId="19" fillId="0" borderId="0" xfId="3" applyNumberFormat="1" applyFont="1"/>
    <xf numFmtId="38" fontId="19" fillId="0" borderId="0" xfId="4" applyNumberFormat="1" applyFont="1" applyFill="1" applyBorder="1" applyAlignment="1">
      <alignment horizontal="center"/>
    </xf>
    <xf numFmtId="0" fontId="19" fillId="0" borderId="0" xfId="3" applyFont="1" applyAlignment="1">
      <alignment horizontal="center"/>
    </xf>
    <xf numFmtId="165" fontId="23" fillId="0" borderId="0" xfId="3" applyNumberFormat="1" applyFont="1" applyAlignment="1">
      <alignment horizontal="left"/>
    </xf>
    <xf numFmtId="43" fontId="21" fillId="10" borderId="0" xfId="1" applyNumberFormat="1" applyFont="1" applyFill="1" applyBorder="1"/>
    <xf numFmtId="43" fontId="0" fillId="13" borderId="0" xfId="0" applyNumberFormat="1" applyFill="1"/>
    <xf numFmtId="164" fontId="27" fillId="7" borderId="0" xfId="0" applyNumberFormat="1" applyFont="1" applyFill="1"/>
    <xf numFmtId="165" fontId="23" fillId="0" borderId="0" xfId="3" applyNumberFormat="1" applyFont="1" applyAlignment="1">
      <alignment horizontal="left" vertical="center" wrapText="1"/>
    </xf>
    <xf numFmtId="165" fontId="19" fillId="0" borderId="0" xfId="3" applyNumberFormat="1" applyFont="1" applyAlignment="1">
      <alignment horizontal="left"/>
    </xf>
    <xf numFmtId="43" fontId="19" fillId="0" borderId="0" xfId="3" applyNumberFormat="1" applyFont="1" applyAlignment="1">
      <alignment horizontal="right"/>
    </xf>
    <xf numFmtId="43" fontId="19" fillId="0" borderId="0" xfId="1" applyNumberFormat="1" applyFont="1" applyFill="1" applyBorder="1" applyAlignment="1">
      <alignment horizontal="right"/>
    </xf>
    <xf numFmtId="164" fontId="19" fillId="0" borderId="0" xfId="1" applyFont="1" applyFill="1" applyBorder="1" applyAlignment="1">
      <alignment horizontal="right"/>
    </xf>
    <xf numFmtId="164" fontId="27" fillId="2" borderId="0" xfId="0" applyNumberFormat="1" applyFont="1" applyFill="1"/>
    <xf numFmtId="43" fontId="21" fillId="0" borderId="0" xfId="3" applyNumberFormat="1" applyFont="1"/>
    <xf numFmtId="165" fontId="21" fillId="0" borderId="0" xfId="3" applyNumberFormat="1" applyFont="1" applyAlignment="1">
      <alignment horizontal="left"/>
    </xf>
    <xf numFmtId="164" fontId="16" fillId="2" borderId="0" xfId="1" applyFont="1" applyFill="1" applyBorder="1" applyAlignment="1">
      <alignment horizontal="right"/>
    </xf>
    <xf numFmtId="164" fontId="16" fillId="7" borderId="0" xfId="1" applyFont="1" applyFill="1" applyBorder="1" applyAlignment="1">
      <alignment horizontal="right"/>
    </xf>
    <xf numFmtId="43" fontId="21" fillId="11" borderId="0" xfId="1" applyNumberFormat="1" applyFont="1" applyFill="1" applyBorder="1"/>
    <xf numFmtId="43" fontId="22" fillId="0" borderId="0" xfId="3" applyNumberFormat="1" applyFont="1"/>
    <xf numFmtId="165" fontId="19" fillId="0" borderId="0" xfId="3" applyNumberFormat="1" applyFont="1" applyAlignment="1">
      <alignment horizontal="left" wrapText="1"/>
    </xf>
    <xf numFmtId="165" fontId="21" fillId="0" borderId="0" xfId="3" applyNumberFormat="1" applyFont="1"/>
    <xf numFmtId="164" fontId="19" fillId="0" borderId="0" xfId="3" applyNumberFormat="1" applyFont="1"/>
    <xf numFmtId="43" fontId="22" fillId="0" borderId="0" xfId="3" applyNumberFormat="1" applyFont="1" applyAlignment="1">
      <alignment horizontal="right"/>
    </xf>
    <xf numFmtId="164" fontId="16" fillId="2" borderId="0" xfId="1" applyFont="1" applyFill="1" applyBorder="1" applyAlignment="1"/>
    <xf numFmtId="43" fontId="22" fillId="11" borderId="0" xfId="1" applyNumberFormat="1" applyFont="1" applyFill="1" applyBorder="1" applyAlignment="1">
      <alignment horizontal="right"/>
    </xf>
    <xf numFmtId="165" fontId="21" fillId="0" borderId="0" xfId="3" applyNumberFormat="1" applyFont="1" applyAlignment="1">
      <alignment horizontal="left" vertical="center" wrapText="1"/>
    </xf>
    <xf numFmtId="165" fontId="19" fillId="0" borderId="0" xfId="3" applyNumberFormat="1" applyFont="1" applyAlignment="1">
      <alignment horizontal="left" vertical="center" wrapText="1"/>
    </xf>
    <xf numFmtId="164" fontId="16" fillId="3" borderId="0" xfId="1" applyFont="1" applyFill="1" applyBorder="1" applyAlignment="1"/>
    <xf numFmtId="43" fontId="22" fillId="11" borderId="0" xfId="4" applyFont="1" applyFill="1" applyBorder="1" applyAlignment="1">
      <alignment horizontal="right"/>
    </xf>
    <xf numFmtId="164" fontId="16" fillId="2" borderId="0" xfId="1" applyFont="1" applyFill="1" applyBorder="1" applyAlignment="1">
      <alignment horizontal="center"/>
    </xf>
    <xf numFmtId="165" fontId="21" fillId="0" borderId="0" xfId="3" applyNumberFormat="1" applyFont="1" applyAlignment="1">
      <alignment vertical="center" wrapText="1"/>
    </xf>
    <xf numFmtId="10" fontId="21" fillId="0" borderId="0" xfId="9" applyNumberFormat="1" applyFont="1" applyFill="1" applyBorder="1" applyAlignment="1">
      <alignment horizontal="left" vertical="justify"/>
    </xf>
    <xf numFmtId="0" fontId="21" fillId="0" borderId="0" xfId="3" applyFont="1" applyAlignment="1">
      <alignment horizontal="left"/>
    </xf>
    <xf numFmtId="43" fontId="22" fillId="0" borderId="0" xfId="4" applyFont="1" applyFill="1" applyBorder="1" applyAlignment="1">
      <alignment horizontal="right"/>
    </xf>
    <xf numFmtId="43" fontId="19" fillId="0" borderId="0" xfId="1" applyNumberFormat="1" applyFont="1" applyFill="1" applyBorder="1"/>
    <xf numFmtId="0" fontId="21" fillId="0" borderId="0" xfId="1" applyNumberFormat="1" applyFont="1" applyFill="1" applyBorder="1" applyAlignment="1">
      <alignment horizontal="left" vertical="center" wrapText="1"/>
    </xf>
    <xf numFmtId="0" fontId="21" fillId="0" borderId="0" xfId="3" applyFont="1" applyAlignment="1">
      <alignment horizontal="left" vertical="center" wrapText="1"/>
    </xf>
    <xf numFmtId="0" fontId="21" fillId="0" borderId="0" xfId="3" applyFont="1" applyAlignment="1">
      <alignment wrapText="1"/>
    </xf>
    <xf numFmtId="0" fontId="21" fillId="0" borderId="0" xfId="3" applyFont="1" applyAlignment="1">
      <alignment horizontal="left" wrapText="1"/>
    </xf>
    <xf numFmtId="43" fontId="22" fillId="5" borderId="0" xfId="1" applyNumberFormat="1" applyFont="1" applyFill="1" applyBorder="1" applyAlignment="1">
      <alignment horizontal="right"/>
    </xf>
    <xf numFmtId="164" fontId="16" fillId="7" borderId="0" xfId="1" applyFont="1" applyFill="1" applyBorder="1"/>
    <xf numFmtId="43" fontId="22" fillId="5" borderId="0" xfId="4" applyFont="1" applyFill="1" applyBorder="1" applyAlignment="1">
      <alignment horizontal="right"/>
    </xf>
    <xf numFmtId="165" fontId="21" fillId="0" borderId="0" xfId="3" applyNumberFormat="1" applyFont="1" applyAlignment="1">
      <alignment horizontal="left" wrapText="1"/>
    </xf>
    <xf numFmtId="164" fontId="16" fillId="7" borderId="0" xfId="0" applyNumberFormat="1" applyFont="1" applyFill="1"/>
    <xf numFmtId="43" fontId="22" fillId="5" borderId="0" xfId="1" applyNumberFormat="1" applyFont="1" applyFill="1" applyBorder="1" applyAlignment="1" applyProtection="1">
      <alignment horizontal="right"/>
    </xf>
    <xf numFmtId="164" fontId="16" fillId="2" borderId="0" xfId="1" applyFont="1" applyFill="1" applyBorder="1" applyAlignment="1" applyProtection="1"/>
    <xf numFmtId="164" fontId="16" fillId="7" borderId="0" xfId="1" applyFont="1" applyFill="1" applyBorder="1" applyAlignment="1" applyProtection="1"/>
    <xf numFmtId="164" fontId="16" fillId="7" borderId="0" xfId="1" applyFont="1" applyFill="1" applyBorder="1" applyAlignment="1">
      <alignment vertical="center"/>
    </xf>
    <xf numFmtId="43" fontId="22" fillId="0" borderId="0" xfId="4" applyFont="1" applyFill="1" applyBorder="1" applyAlignment="1">
      <alignment horizontal="right" vertical="center"/>
    </xf>
    <xf numFmtId="43" fontId="22" fillId="11" borderId="0" xfId="4" applyFont="1" applyFill="1" applyBorder="1" applyAlignment="1">
      <alignment horizontal="right" vertical="center"/>
    </xf>
    <xf numFmtId="164" fontId="16" fillId="2" borderId="0" xfId="1" applyFont="1" applyFill="1" applyBorder="1" applyAlignment="1">
      <alignment vertical="center"/>
    </xf>
    <xf numFmtId="40" fontId="22" fillId="5" borderId="0" xfId="1" applyNumberFormat="1" applyFont="1" applyFill="1" applyBorder="1" applyAlignment="1">
      <alignment horizontal="right"/>
    </xf>
    <xf numFmtId="43" fontId="0" fillId="12" borderId="0" xfId="0" applyNumberFormat="1" applyFill="1"/>
    <xf numFmtId="43" fontId="0" fillId="2" borderId="0" xfId="0" applyNumberFormat="1" applyFill="1"/>
    <xf numFmtId="0" fontId="19" fillId="0" borderId="0" xfId="3" applyFont="1" applyAlignment="1">
      <alignment horizontal="left" vertical="center" wrapText="1"/>
    </xf>
    <xf numFmtId="164" fontId="21" fillId="10" borderId="0" xfId="1" applyFont="1" applyFill="1" applyBorder="1"/>
    <xf numFmtId="0" fontId="21" fillId="0" borderId="0" xfId="3" applyFont="1" applyAlignment="1">
      <alignment vertical="center" wrapText="1"/>
    </xf>
    <xf numFmtId="0" fontId="19" fillId="0" borderId="0" xfId="3" applyFont="1" applyAlignment="1">
      <alignment vertical="center" wrapText="1"/>
    </xf>
    <xf numFmtId="0" fontId="23" fillId="0" borderId="0" xfId="3" applyFont="1"/>
    <xf numFmtId="165" fontId="19" fillId="0" borderId="0" xfId="3" applyNumberFormat="1" applyFont="1" applyAlignment="1">
      <alignment wrapText="1"/>
    </xf>
    <xf numFmtId="43" fontId="21" fillId="0" borderId="0" xfId="1" applyNumberFormat="1" applyFont="1" applyFill="1" applyBorder="1" applyAlignment="1">
      <alignment horizontal="left" vertical="center" wrapText="1"/>
    </xf>
    <xf numFmtId="165" fontId="19" fillId="0" borderId="0" xfId="3" applyNumberFormat="1" applyFont="1" applyAlignment="1">
      <alignment vertical="center" wrapText="1"/>
    </xf>
    <xf numFmtId="43" fontId="19" fillId="0" borderId="0" xfId="4" applyFont="1" applyFill="1" applyBorder="1" applyAlignment="1">
      <alignment horizontal="right"/>
    </xf>
    <xf numFmtId="165" fontId="19" fillId="0" borderId="0" xfId="3" quotePrefix="1" applyNumberFormat="1" applyFont="1" applyAlignment="1">
      <alignment horizontal="left" vertical="center" wrapText="1"/>
    </xf>
    <xf numFmtId="43" fontId="21" fillId="0" borderId="0" xfId="4" applyFont="1" applyFill="1" applyBorder="1" applyAlignment="1">
      <alignment horizontal="right"/>
    </xf>
    <xf numFmtId="43" fontId="21" fillId="0" borderId="0" xfId="4" applyFont="1" applyFill="1" applyBorder="1" applyAlignment="1" applyProtection="1">
      <alignment horizontal="right"/>
    </xf>
    <xf numFmtId="164" fontId="17" fillId="7" borderId="0" xfId="1" applyFont="1" applyFill="1" applyBorder="1" applyAlignment="1"/>
    <xf numFmtId="0" fontId="17" fillId="0" borderId="0" xfId="3" applyFont="1" applyAlignment="1">
      <alignment horizontal="left"/>
    </xf>
    <xf numFmtId="0" fontId="17" fillId="0" borderId="0" xfId="3" applyFont="1" applyAlignment="1">
      <alignment horizontal="center"/>
    </xf>
    <xf numFmtId="0" fontId="17" fillId="0" borderId="0" xfId="3" applyFont="1"/>
    <xf numFmtId="0" fontId="17" fillId="0" borderId="9" xfId="3" applyFont="1" applyBorder="1" applyAlignment="1">
      <alignment horizontal="center"/>
    </xf>
    <xf numFmtId="0" fontId="17" fillId="0" borderId="13" xfId="1" applyNumberFormat="1" applyFont="1" applyFill="1" applyBorder="1" applyAlignment="1">
      <alignment horizontal="left" wrapText="1" indent="1"/>
    </xf>
    <xf numFmtId="164" fontId="18" fillId="0" borderId="13" xfId="1" applyFont="1" applyFill="1" applyBorder="1" applyAlignment="1">
      <alignment horizontal="center"/>
    </xf>
    <xf numFmtId="38" fontId="17" fillId="0" borderId="0" xfId="4" applyNumberFormat="1" applyFont="1" applyFill="1" applyBorder="1" applyAlignment="1">
      <alignment horizontal="center"/>
    </xf>
    <xf numFmtId="38" fontId="17" fillId="0" borderId="12" xfId="1" applyNumberFormat="1" applyFont="1" applyFill="1" applyBorder="1" applyAlignment="1">
      <alignment horizontal="center"/>
    </xf>
    <xf numFmtId="0" fontId="18" fillId="0" borderId="14" xfId="1" applyNumberFormat="1" applyFont="1" applyFill="1" applyBorder="1" applyAlignment="1">
      <alignment horizontal="center" wrapText="1"/>
    </xf>
    <xf numFmtId="164" fontId="18" fillId="0" borderId="14" xfId="1" quotePrefix="1" applyFont="1" applyFill="1" applyBorder="1" applyAlignment="1">
      <alignment horizontal="center"/>
    </xf>
    <xf numFmtId="165" fontId="17" fillId="0" borderId="0" xfId="3" quotePrefix="1" applyNumberFormat="1" applyFont="1" applyAlignment="1">
      <alignment horizontal="center"/>
    </xf>
    <xf numFmtId="38" fontId="17" fillId="0" borderId="0" xfId="4" quotePrefix="1" applyNumberFormat="1" applyFont="1" applyFill="1" applyBorder="1" applyAlignment="1">
      <alignment horizontal="center"/>
    </xf>
    <xf numFmtId="0" fontId="17" fillId="0" borderId="10" xfId="3" applyFont="1" applyBorder="1" applyAlignment="1">
      <alignment horizontal="center"/>
    </xf>
    <xf numFmtId="0" fontId="17" fillId="0" borderId="11" xfId="3" applyFont="1" applyBorder="1" applyAlignment="1">
      <alignment horizontal="center"/>
    </xf>
    <xf numFmtId="0" fontId="18" fillId="0" borderId="25" xfId="1" applyNumberFormat="1" applyFont="1" applyFill="1" applyBorder="1" applyAlignment="1">
      <alignment horizontal="left" wrapText="1" indent="1"/>
    </xf>
    <xf numFmtId="164" fontId="17" fillId="0" borderId="25" xfId="1" quotePrefix="1" applyFont="1" applyFill="1" applyBorder="1" applyAlignment="1"/>
    <xf numFmtId="38" fontId="17" fillId="0" borderId="11" xfId="4" quotePrefix="1" applyNumberFormat="1" applyFont="1" applyFill="1" applyBorder="1" applyAlignment="1">
      <alignment horizontal="center"/>
    </xf>
    <xf numFmtId="38" fontId="17" fillId="0" borderId="15" xfId="1" applyNumberFormat="1" applyFont="1" applyFill="1" applyBorder="1" applyAlignment="1">
      <alignment horizontal="center"/>
    </xf>
    <xf numFmtId="164" fontId="17" fillId="0" borderId="13" xfId="1" applyFont="1" applyFill="1" applyBorder="1" applyAlignment="1">
      <alignment horizontal="center"/>
    </xf>
    <xf numFmtId="38" fontId="17" fillId="0" borderId="0" xfId="1" applyNumberFormat="1" applyFont="1" applyFill="1" applyBorder="1" applyAlignment="1">
      <alignment horizontal="center"/>
    </xf>
    <xf numFmtId="0" fontId="18" fillId="0" borderId="14" xfId="1" applyNumberFormat="1" applyFont="1" applyFill="1" applyBorder="1" applyAlignment="1">
      <alignment horizontal="left" wrapText="1" indent="1"/>
    </xf>
    <xf numFmtId="0" fontId="17" fillId="0" borderId="0" xfId="3" quotePrefix="1" applyFont="1" applyAlignment="1">
      <alignment horizontal="center"/>
    </xf>
    <xf numFmtId="167" fontId="17" fillId="0" borderId="0" xfId="1" applyNumberFormat="1" applyFont="1" applyFill="1" applyBorder="1" applyAlignment="1">
      <alignment horizontal="center"/>
    </xf>
    <xf numFmtId="0" fontId="18" fillId="0" borderId="0" xfId="3" applyFont="1" applyAlignment="1">
      <alignment horizontal="left"/>
    </xf>
    <xf numFmtId="0" fontId="18" fillId="0" borderId="0" xfId="3" applyFont="1" applyAlignment="1">
      <alignment horizontal="center"/>
    </xf>
    <xf numFmtId="167" fontId="18" fillId="0" borderId="21" xfId="1" applyNumberFormat="1" applyFont="1" applyFill="1" applyBorder="1" applyAlignment="1">
      <alignment horizontal="right"/>
    </xf>
    <xf numFmtId="0" fontId="18" fillId="0" borderId="0" xfId="3" applyFont="1"/>
    <xf numFmtId="0" fontId="17" fillId="0" borderId="0" xfId="3" quotePrefix="1" applyFont="1" applyAlignment="1">
      <alignment horizontal="left"/>
    </xf>
    <xf numFmtId="0" fontId="18" fillId="0" borderId="21" xfId="1" applyNumberFormat="1" applyFont="1" applyFill="1" applyBorder="1" applyAlignment="1">
      <alignment horizontal="left" wrapText="1" indent="1"/>
    </xf>
    <xf numFmtId="167" fontId="18" fillId="0" borderId="27" xfId="1" applyNumberFormat="1" applyFont="1" applyFill="1" applyBorder="1" applyAlignment="1">
      <alignment horizontal="right"/>
    </xf>
    <xf numFmtId="167" fontId="18" fillId="0" borderId="0" xfId="1" applyNumberFormat="1" applyFont="1" applyFill="1" applyBorder="1" applyAlignment="1">
      <alignment horizontal="right"/>
    </xf>
    <xf numFmtId="0" fontId="18" fillId="0" borderId="0" xfId="3" quotePrefix="1" applyFont="1" applyAlignment="1">
      <alignment horizontal="left"/>
    </xf>
    <xf numFmtId="0" fontId="18" fillId="0" borderId="0" xfId="3" quotePrefix="1" applyFont="1" applyAlignment="1">
      <alignment horizontal="center"/>
    </xf>
    <xf numFmtId="43" fontId="1" fillId="13" borderId="0" xfId="0" applyNumberFormat="1" applyFont="1" applyFill="1"/>
    <xf numFmtId="167" fontId="18" fillId="0" borderId="21" xfId="1" applyNumberFormat="1" applyFont="1" applyFill="1" applyBorder="1" applyAlignment="1">
      <alignment horizontal="center"/>
    </xf>
    <xf numFmtId="167" fontId="18" fillId="0" borderId="27" xfId="1" applyNumberFormat="1" applyFont="1" applyFill="1" applyBorder="1" applyAlignment="1">
      <alignment horizontal="center"/>
    </xf>
    <xf numFmtId="164" fontId="17" fillId="0" borderId="0" xfId="1" applyFont="1" applyFill="1" applyBorder="1"/>
    <xf numFmtId="0" fontId="17" fillId="0" borderId="14" xfId="1" applyNumberFormat="1" applyFont="1" applyFill="1" applyBorder="1" applyAlignment="1">
      <alignment horizontal="left" vertical="justify" wrapText="1" indent="1"/>
    </xf>
    <xf numFmtId="167" fontId="18" fillId="0" borderId="0" xfId="1" applyNumberFormat="1" applyFont="1" applyFill="1" applyBorder="1"/>
    <xf numFmtId="0" fontId="17" fillId="0" borderId="0" xfId="3" applyFont="1" applyAlignment="1">
      <alignment horizontal="center" vertical="center"/>
    </xf>
    <xf numFmtId="0" fontId="17" fillId="0" borderId="0" xfId="3" quotePrefix="1" applyFont="1" applyAlignment="1">
      <alignment horizontal="center" vertical="top"/>
    </xf>
    <xf numFmtId="0" fontId="17" fillId="0" borderId="0" xfId="3" quotePrefix="1" applyFont="1" applyAlignment="1">
      <alignment horizontal="center" vertical="center"/>
    </xf>
    <xf numFmtId="0" fontId="17" fillId="0" borderId="0" xfId="3" quotePrefix="1" applyFont="1" applyAlignment="1">
      <alignment horizontal="center" vertical="center" wrapText="1"/>
    </xf>
    <xf numFmtId="43" fontId="17" fillId="0" borderId="0" xfId="3" applyNumberFormat="1" applyFont="1"/>
    <xf numFmtId="167" fontId="17" fillId="0" borderId="0" xfId="1" applyNumberFormat="1" applyFont="1" applyFill="1" applyBorder="1" applyAlignment="1" applyProtection="1">
      <alignment horizontal="right"/>
    </xf>
    <xf numFmtId="43" fontId="1" fillId="0" borderId="0" xfId="0" applyNumberFormat="1" applyFont="1"/>
    <xf numFmtId="167" fontId="18" fillId="0" borderId="21" xfId="1" applyNumberFormat="1" applyFont="1" applyFill="1" applyBorder="1" applyAlignment="1" applyProtection="1"/>
    <xf numFmtId="167" fontId="18" fillId="0" borderId="27" xfId="1" applyNumberFormat="1" applyFont="1" applyFill="1" applyBorder="1" applyAlignment="1" applyProtection="1"/>
    <xf numFmtId="164" fontId="17" fillId="0" borderId="0" xfId="1" applyFont="1" applyFill="1" applyBorder="1" applyAlignment="1">
      <alignment horizontal="right" vertical="center"/>
    </xf>
    <xf numFmtId="0" fontId="17" fillId="0" borderId="0" xfId="3" applyFont="1" applyAlignment="1">
      <alignment horizontal="left" vertical="center"/>
    </xf>
    <xf numFmtId="167" fontId="17" fillId="0" borderId="0" xfId="1" applyNumberFormat="1" applyFont="1" applyFill="1" applyBorder="1" applyAlignment="1">
      <alignment horizontal="right" vertical="center"/>
    </xf>
    <xf numFmtId="167" fontId="17" fillId="0" borderId="21" xfId="1" applyNumberFormat="1" applyFont="1" applyFill="1" applyBorder="1" applyAlignment="1"/>
    <xf numFmtId="167" fontId="17" fillId="0" borderId="27" xfId="1" applyNumberFormat="1" applyFont="1" applyFill="1" applyBorder="1" applyAlignment="1"/>
    <xf numFmtId="167" fontId="18" fillId="0" borderId="0" xfId="1" applyNumberFormat="1" applyFont="1" applyFill="1" applyBorder="1" applyAlignment="1"/>
    <xf numFmtId="0" fontId="17" fillId="0" borderId="0" xfId="3" quotePrefix="1" applyFont="1"/>
    <xf numFmtId="167" fontId="17" fillId="0" borderId="33" xfId="1" applyNumberFormat="1" applyFont="1" applyFill="1" applyBorder="1" applyAlignment="1">
      <alignment horizontal="right"/>
    </xf>
    <xf numFmtId="167" fontId="17" fillId="0" borderId="33" xfId="1" applyNumberFormat="1" applyFont="1" applyFill="1" applyBorder="1"/>
    <xf numFmtId="0" fontId="33" fillId="0" borderId="21" xfId="1" applyNumberFormat="1" applyFont="1" applyFill="1" applyBorder="1" applyAlignment="1">
      <alignment horizontal="left" wrapText="1" indent="1"/>
    </xf>
    <xf numFmtId="0" fontId="34" fillId="0" borderId="14" xfId="1" applyNumberFormat="1" applyFont="1" applyFill="1" applyBorder="1" applyAlignment="1">
      <alignment horizontal="left" wrapText="1" indent="1"/>
    </xf>
    <xf numFmtId="0" fontId="18" fillId="0" borderId="14" xfId="1" quotePrefix="1" applyNumberFormat="1" applyFont="1" applyFill="1" applyBorder="1" applyAlignment="1">
      <alignment horizontal="left" wrapText="1" indent="1"/>
    </xf>
    <xf numFmtId="0" fontId="17" fillId="0" borderId="0" xfId="3" quotePrefix="1" applyFont="1" applyAlignment="1">
      <alignment horizontal="center" wrapText="1"/>
    </xf>
    <xf numFmtId="0" fontId="17" fillId="0" borderId="0" xfId="3" applyFont="1" applyAlignment="1">
      <alignment horizontal="center" wrapText="1"/>
    </xf>
    <xf numFmtId="167" fontId="17" fillId="0" borderId="0" xfId="1" applyNumberFormat="1" applyFont="1" applyFill="1" applyBorder="1" applyAlignment="1">
      <alignment wrapText="1"/>
    </xf>
    <xf numFmtId="0" fontId="17" fillId="0" borderId="0" xfId="3" applyFont="1" applyAlignment="1">
      <alignment wrapText="1"/>
    </xf>
    <xf numFmtId="167" fontId="17" fillId="0" borderId="0" xfId="1" applyNumberFormat="1" applyFont="1" applyFill="1" applyBorder="1" applyAlignment="1">
      <alignment horizontal="right" wrapText="1"/>
    </xf>
    <xf numFmtId="0" fontId="17" fillId="0" borderId="23" xfId="1" applyNumberFormat="1" applyFont="1" applyFill="1" applyBorder="1" applyAlignment="1">
      <alignment horizontal="left" wrapText="1" indent="1"/>
    </xf>
    <xf numFmtId="0" fontId="17" fillId="0" borderId="14" xfId="1" quotePrefix="1" applyNumberFormat="1" applyFont="1" applyFill="1" applyBorder="1" applyAlignment="1">
      <alignment horizontal="left" vertical="justify" wrapText="1" indent="1"/>
    </xf>
    <xf numFmtId="0" fontId="18" fillId="0" borderId="14" xfId="1" applyNumberFormat="1" applyFont="1" applyFill="1" applyBorder="1" applyAlignment="1">
      <alignment horizontal="left" vertical="justify" wrapText="1" indent="1"/>
    </xf>
    <xf numFmtId="0" fontId="17" fillId="0" borderId="22" xfId="1" applyNumberFormat="1" applyFont="1" applyFill="1" applyBorder="1" applyAlignment="1">
      <alignment horizontal="left" wrapText="1" indent="1"/>
    </xf>
    <xf numFmtId="0" fontId="18" fillId="0" borderId="29" xfId="1" applyNumberFormat="1" applyFont="1" applyFill="1" applyBorder="1" applyAlignment="1">
      <alignment horizontal="left" wrapText="1" indent="1"/>
    </xf>
    <xf numFmtId="167" fontId="18" fillId="0" borderId="28" xfId="1" applyNumberFormat="1" applyFont="1" applyFill="1" applyBorder="1" applyAlignment="1"/>
    <xf numFmtId="167" fontId="18" fillId="0" borderId="29" xfId="1" applyNumberFormat="1" applyFont="1" applyFill="1" applyBorder="1" applyAlignment="1"/>
    <xf numFmtId="0" fontId="17" fillId="0" borderId="0" xfId="1" applyNumberFormat="1" applyFont="1" applyFill="1" applyBorder="1" applyAlignment="1">
      <alignment horizontal="left" wrapText="1" indent="1"/>
    </xf>
    <xf numFmtId="165" fontId="17" fillId="0" borderId="0" xfId="4" applyNumberFormat="1" applyFont="1" applyFill="1" applyBorder="1" applyAlignment="1">
      <alignment horizontal="right"/>
    </xf>
    <xf numFmtId="38" fontId="17" fillId="0" borderId="0" xfId="1" applyNumberFormat="1" applyFont="1" applyFill="1" applyBorder="1" applyAlignment="1">
      <alignment horizontal="right"/>
    </xf>
    <xf numFmtId="43" fontId="17" fillId="0" borderId="0" xfId="1" applyNumberFormat="1" applyFont="1" applyFill="1" applyBorder="1" applyAlignment="1">
      <alignment horizontal="left" wrapText="1" indent="1"/>
    </xf>
    <xf numFmtId="3" fontId="17" fillId="0" borderId="0" xfId="1" applyNumberFormat="1" applyFont="1" applyFill="1" applyBorder="1" applyAlignment="1"/>
    <xf numFmtId="0" fontId="17" fillId="0" borderId="0" xfId="3" applyFont="1" applyAlignment="1">
      <alignment horizontal="right"/>
    </xf>
    <xf numFmtId="167" fontId="18" fillId="0" borderId="34" xfId="1" applyNumberFormat="1" applyFont="1" applyFill="1" applyBorder="1" applyAlignment="1">
      <alignment horizontal="right"/>
    </xf>
    <xf numFmtId="165" fontId="11" fillId="0" borderId="30" xfId="7" applyNumberFormat="1" applyFont="1" applyBorder="1"/>
    <xf numFmtId="39" fontId="11" fillId="0" borderId="30" xfId="7" applyNumberFormat="1" applyFont="1" applyBorder="1"/>
    <xf numFmtId="0" fontId="15" fillId="0" borderId="9" xfId="10" applyBorder="1" applyAlignment="1">
      <alignment horizontal="center"/>
    </xf>
    <xf numFmtId="0" fontId="15" fillId="0" borderId="0" xfId="10">
      <alignment wrapText="1"/>
    </xf>
    <xf numFmtId="168" fontId="15" fillId="0" borderId="0" xfId="6" applyNumberFormat="1" applyFont="1" applyFill="1" applyBorder="1" applyAlignment="1">
      <alignment wrapText="1"/>
    </xf>
    <xf numFmtId="0" fontId="15" fillId="0" borderId="12" xfId="10" applyBorder="1">
      <alignment wrapText="1"/>
    </xf>
    <xf numFmtId="0" fontId="15" fillId="0" borderId="10" xfId="10" applyBorder="1" applyAlignment="1">
      <alignment horizontal="center"/>
    </xf>
    <xf numFmtId="0" fontId="15" fillId="0" borderId="11" xfId="10" applyBorder="1">
      <alignment wrapText="1"/>
    </xf>
    <xf numFmtId="168" fontId="15" fillId="0" borderId="11" xfId="6" applyNumberFormat="1" applyFont="1" applyFill="1" applyBorder="1" applyAlignment="1">
      <alignment wrapText="1"/>
    </xf>
    <xf numFmtId="0" fontId="15" fillId="0" borderId="15" xfId="10" applyBorder="1">
      <alignment wrapText="1"/>
    </xf>
    <xf numFmtId="0" fontId="15" fillId="0" borderId="7" xfId="10" applyBorder="1" applyAlignment="1">
      <alignment horizontal="center"/>
    </xf>
    <xf numFmtId="0" fontId="15" fillId="0" borderId="7" xfId="10" applyBorder="1">
      <alignment wrapText="1"/>
    </xf>
    <xf numFmtId="0" fontId="15" fillId="0" borderId="8" xfId="10" applyBorder="1">
      <alignment wrapText="1"/>
    </xf>
    <xf numFmtId="0" fontId="15" fillId="0" borderId="20" xfId="10" applyBorder="1">
      <alignment wrapText="1"/>
    </xf>
    <xf numFmtId="168" fontId="15" fillId="0" borderId="8" xfId="6" applyNumberFormat="1" applyFont="1" applyFill="1" applyBorder="1" applyAlignment="1">
      <alignment wrapText="1"/>
    </xf>
    <xf numFmtId="0" fontId="4" fillId="0" borderId="9" xfId="10" applyFont="1" applyBorder="1" applyAlignment="1">
      <alignment horizontal="center"/>
    </xf>
    <xf numFmtId="0" fontId="4" fillId="0" borderId="0" xfId="10" applyFont="1" applyAlignment="1">
      <alignment horizontal="center"/>
    </xf>
    <xf numFmtId="0" fontId="4" fillId="0" borderId="12" xfId="10" applyFont="1" applyBorder="1" applyAlignment="1">
      <alignment horizontal="center"/>
    </xf>
    <xf numFmtId="168" fontId="4" fillId="0" borderId="0" xfId="6" applyNumberFormat="1" applyFont="1" applyFill="1" applyBorder="1" applyAlignment="1">
      <alignment horizontal="center"/>
    </xf>
    <xf numFmtId="0" fontId="15" fillId="0" borderId="10" xfId="10" applyBorder="1">
      <alignment wrapText="1"/>
    </xf>
    <xf numFmtId="0" fontId="15" fillId="0" borderId="9" xfId="10" applyBorder="1">
      <alignment wrapText="1"/>
    </xf>
    <xf numFmtId="0" fontId="3" fillId="0" borderId="9" xfId="10" quotePrefix="1" applyFont="1" applyBorder="1" applyAlignment="1">
      <alignment horizontal="center" vertical="top"/>
    </xf>
    <xf numFmtId="0" fontId="3" fillId="0" borderId="9" xfId="10" applyFont="1" applyBorder="1" applyAlignment="1">
      <alignment vertical="top" wrapText="1"/>
    </xf>
    <xf numFmtId="0" fontId="3" fillId="0" borderId="0" xfId="10" applyFont="1" applyAlignment="1">
      <alignment vertical="top" wrapText="1"/>
    </xf>
    <xf numFmtId="0" fontId="3" fillId="0" borderId="12" xfId="10" applyFont="1" applyBorder="1" applyAlignment="1">
      <alignment vertical="top" wrapText="1"/>
    </xf>
    <xf numFmtId="169" fontId="3" fillId="0" borderId="0" xfId="1" applyNumberFormat="1" applyFont="1" applyFill="1" applyBorder="1" applyAlignment="1">
      <alignment vertical="top" wrapText="1"/>
    </xf>
    <xf numFmtId="0" fontId="3" fillId="0" borderId="9" xfId="10" applyFont="1" applyBorder="1" applyAlignment="1">
      <alignment horizontal="center" vertical="top"/>
    </xf>
    <xf numFmtId="40" fontId="10" fillId="0" borderId="0" xfId="6" applyFont="1" applyBorder="1" applyAlignment="1">
      <alignment vertical="top" wrapText="1"/>
    </xf>
    <xf numFmtId="40" fontId="10" fillId="0" borderId="0" xfId="6" applyFont="1" applyFill="1" applyBorder="1" applyAlignment="1">
      <alignment vertical="top" wrapText="1"/>
    </xf>
    <xf numFmtId="0" fontId="3" fillId="0" borderId="14" xfId="10" applyFont="1" applyBorder="1" applyAlignment="1">
      <alignment horizontal="center" vertical="top"/>
    </xf>
    <xf numFmtId="0" fontId="3" fillId="0" borderId="25" xfId="10" applyFont="1" applyBorder="1" applyAlignment="1">
      <alignment horizontal="center" vertical="top"/>
    </xf>
    <xf numFmtId="0" fontId="3" fillId="0" borderId="10" xfId="10" applyFont="1" applyBorder="1" applyAlignment="1">
      <alignment vertical="top" wrapText="1"/>
    </xf>
    <xf numFmtId="0" fontId="3" fillId="0" borderId="11" xfId="10" applyFont="1" applyBorder="1" applyAlignment="1">
      <alignment vertical="top" wrapText="1"/>
    </xf>
    <xf numFmtId="0" fontId="3" fillId="0" borderId="15" xfId="10" applyFont="1" applyBorder="1" applyAlignment="1">
      <alignment vertical="top" wrapText="1"/>
    </xf>
    <xf numFmtId="169" fontId="3" fillId="0" borderId="11" xfId="1" applyNumberFormat="1" applyFont="1" applyFill="1" applyBorder="1" applyAlignment="1">
      <alignment vertical="top" wrapText="1"/>
    </xf>
    <xf numFmtId="0" fontId="4" fillId="0" borderId="9" xfId="10" applyFont="1" applyBorder="1" applyAlignment="1">
      <alignment horizontal="center" vertical="top"/>
    </xf>
    <xf numFmtId="0" fontId="4" fillId="0" borderId="9" xfId="10" applyFont="1" applyBorder="1" applyAlignment="1">
      <alignment vertical="top" wrapText="1"/>
    </xf>
    <xf numFmtId="0" fontId="4" fillId="0" borderId="0" xfId="10" applyFont="1" applyAlignment="1">
      <alignment vertical="top" wrapText="1"/>
    </xf>
    <xf numFmtId="0" fontId="4" fillId="0" borderId="12" xfId="10" applyFont="1" applyBorder="1" applyAlignment="1">
      <alignment vertical="top" wrapText="1"/>
    </xf>
    <xf numFmtId="169" fontId="37" fillId="0" borderId="0" xfId="1" applyNumberFormat="1" applyFont="1" applyFill="1" applyBorder="1" applyAlignment="1">
      <alignment vertical="top" wrapText="1"/>
    </xf>
    <xf numFmtId="168" fontId="37" fillId="0" borderId="0" xfId="6" applyNumberFormat="1" applyFont="1" applyFill="1" applyBorder="1" applyAlignment="1">
      <alignment vertical="top" wrapText="1"/>
    </xf>
    <xf numFmtId="0" fontId="4" fillId="0" borderId="10" xfId="10" applyFont="1" applyBorder="1" applyAlignment="1">
      <alignment horizontal="center" vertical="top"/>
    </xf>
    <xf numFmtId="0" fontId="4" fillId="0" borderId="10" xfId="10" applyFont="1" applyBorder="1" applyAlignment="1">
      <alignment vertical="top" wrapText="1"/>
    </xf>
    <xf numFmtId="0" fontId="4" fillId="0" borderId="11" xfId="10" applyFont="1" applyBorder="1" applyAlignment="1">
      <alignment vertical="top" wrapText="1"/>
    </xf>
    <xf numFmtId="0" fontId="4" fillId="0" borderId="15" xfId="10" applyFont="1" applyBorder="1" applyAlignment="1">
      <alignment vertical="top" wrapText="1"/>
    </xf>
    <xf numFmtId="168" fontId="37" fillId="0" borderId="11" xfId="6" applyNumberFormat="1" applyFont="1" applyFill="1" applyBorder="1" applyAlignment="1">
      <alignment vertical="top" wrapText="1"/>
    </xf>
    <xf numFmtId="0" fontId="4" fillId="0" borderId="14" xfId="10" applyFont="1" applyBorder="1" applyAlignment="1">
      <alignment horizontal="center" vertical="top"/>
    </xf>
    <xf numFmtId="0" fontId="15" fillId="0" borderId="25" xfId="10" applyBorder="1" applyAlignment="1">
      <alignment horizontal="center" vertical="top"/>
    </xf>
    <xf numFmtId="0" fontId="15" fillId="0" borderId="11" xfId="10" applyBorder="1" applyAlignment="1">
      <alignment vertical="top" wrapText="1"/>
    </xf>
    <xf numFmtId="0" fontId="15" fillId="0" borderId="15" xfId="10" applyBorder="1" applyAlignment="1">
      <alignment vertical="top" wrapText="1"/>
    </xf>
    <xf numFmtId="168" fontId="15" fillId="0" borderId="11" xfId="6" applyNumberFormat="1" applyFont="1" applyFill="1" applyBorder="1" applyAlignment="1">
      <alignment vertical="top" wrapText="1"/>
    </xf>
    <xf numFmtId="0" fontId="15" fillId="0" borderId="14" xfId="10" applyBorder="1" applyAlignment="1">
      <alignment horizontal="center"/>
    </xf>
    <xf numFmtId="0" fontId="15" fillId="0" borderId="25" xfId="10" applyBorder="1" applyAlignment="1">
      <alignment horizontal="center"/>
    </xf>
    <xf numFmtId="164" fontId="38" fillId="0" borderId="0" xfId="1" applyFont="1" applyFill="1" applyBorder="1" applyAlignment="1"/>
    <xf numFmtId="167" fontId="4" fillId="0" borderId="24" xfId="1" applyNumberFormat="1" applyFont="1" applyFill="1" applyBorder="1" applyAlignment="1">
      <alignment horizontal="right"/>
    </xf>
    <xf numFmtId="167" fontId="4" fillId="0" borderId="6" xfId="1" applyNumberFormat="1" applyFont="1" applyFill="1" applyBorder="1" applyAlignment="1">
      <alignment horizontal="right"/>
    </xf>
    <xf numFmtId="167" fontId="4" fillId="0" borderId="21" xfId="1" applyNumberFormat="1" applyFont="1" applyFill="1" applyBorder="1" applyAlignment="1">
      <alignment horizontal="right"/>
    </xf>
    <xf numFmtId="167" fontId="4" fillId="0" borderId="24" xfId="1" applyNumberFormat="1" applyFont="1" applyFill="1" applyBorder="1" applyAlignment="1"/>
    <xf numFmtId="164" fontId="4" fillId="0" borderId="14" xfId="1" applyFont="1" applyBorder="1" applyAlignment="1">
      <alignment horizontal="center"/>
    </xf>
    <xf numFmtId="165" fontId="18" fillId="0" borderId="8" xfId="3" applyNumberFormat="1" applyFont="1" applyBorder="1" applyAlignment="1">
      <alignment horizontal="center"/>
    </xf>
    <xf numFmtId="164" fontId="3" fillId="0" borderId="11" xfId="1" applyFont="1" applyBorder="1"/>
    <xf numFmtId="167" fontId="18" fillId="0" borderId="34" xfId="1" applyNumberFormat="1" applyFont="1" applyFill="1" applyBorder="1" applyAlignment="1"/>
    <xf numFmtId="167" fontId="18" fillId="0" borderId="34" xfId="1" applyNumberFormat="1" applyFont="1" applyFill="1" applyBorder="1" applyAlignment="1">
      <alignment horizontal="center"/>
    </xf>
    <xf numFmtId="164" fontId="18" fillId="0" borderId="34" xfId="1" applyFont="1" applyFill="1" applyBorder="1" applyAlignment="1"/>
    <xf numFmtId="167" fontId="18" fillId="0" borderId="34" xfId="1" applyNumberFormat="1" applyFont="1" applyFill="1" applyBorder="1" applyAlignment="1" applyProtection="1"/>
    <xf numFmtId="164" fontId="18" fillId="0" borderId="34" xfId="1" applyFont="1" applyFill="1" applyBorder="1" applyAlignment="1">
      <alignment vertical="center"/>
    </xf>
    <xf numFmtId="167" fontId="17" fillId="0" borderId="34" xfId="1" applyNumberFormat="1" applyFont="1" applyFill="1" applyBorder="1" applyAlignment="1"/>
    <xf numFmtId="167" fontId="18" fillId="0" borderId="38" xfId="1" applyNumberFormat="1" applyFont="1" applyFill="1" applyBorder="1" applyAlignment="1"/>
    <xf numFmtId="0" fontId="17" fillId="0" borderId="10" xfId="1" applyNumberFormat="1" applyFont="1" applyFill="1" applyBorder="1" applyAlignment="1">
      <alignment horizontal="left" wrapText="1" indent="1"/>
    </xf>
    <xf numFmtId="164" fontId="17" fillId="0" borderId="11" xfId="1" applyFont="1" applyFill="1" applyBorder="1" applyAlignment="1">
      <alignment horizontal="right"/>
    </xf>
    <xf numFmtId="164" fontId="17" fillId="0" borderId="11" xfId="1" applyFont="1" applyFill="1" applyBorder="1" applyAlignment="1"/>
    <xf numFmtId="164" fontId="17" fillId="7" borderId="11" xfId="1" applyFont="1" applyFill="1" applyBorder="1" applyAlignment="1"/>
    <xf numFmtId="164" fontId="17" fillId="0" borderId="15" xfId="1" applyFont="1" applyFill="1" applyBorder="1" applyAlignment="1"/>
    <xf numFmtId="170" fontId="17" fillId="0" borderId="14" xfId="3" applyNumberFormat="1" applyFont="1" applyBorder="1" applyAlignment="1">
      <alignment horizontal="center"/>
    </xf>
    <xf numFmtId="170" fontId="17" fillId="0" borderId="14" xfId="1" applyNumberFormat="1" applyFont="1" applyFill="1" applyBorder="1" applyAlignment="1">
      <alignment horizontal="center"/>
    </xf>
    <xf numFmtId="170" fontId="17" fillId="0" borderId="14" xfId="1" applyNumberFormat="1" applyFont="1" applyFill="1" applyBorder="1" applyAlignment="1"/>
    <xf numFmtId="170" fontId="17" fillId="0" borderId="14" xfId="1" applyNumberFormat="1" applyFont="1" applyFill="1" applyBorder="1" applyAlignment="1">
      <alignment wrapText="1"/>
    </xf>
    <xf numFmtId="170" fontId="17" fillId="0" borderId="14" xfId="1" applyNumberFormat="1" applyFont="1" applyFill="1" applyBorder="1" applyAlignment="1">
      <alignment vertical="center" wrapText="1"/>
    </xf>
    <xf numFmtId="170" fontId="18" fillId="0" borderId="21" xfId="1" applyNumberFormat="1" applyFont="1" applyFill="1" applyBorder="1" applyAlignment="1">
      <alignment horizontal="right"/>
    </xf>
    <xf numFmtId="170" fontId="17" fillId="0" borderId="14" xfId="1" applyNumberFormat="1" applyFont="1" applyFill="1" applyBorder="1" applyAlignment="1">
      <alignment horizontal="right"/>
    </xf>
    <xf numFmtId="170" fontId="18" fillId="0" borderId="14" xfId="1" applyNumberFormat="1" applyFont="1" applyFill="1" applyBorder="1" applyAlignment="1">
      <alignment horizontal="right"/>
    </xf>
    <xf numFmtId="170" fontId="18" fillId="0" borderId="21" xfId="1" applyNumberFormat="1" applyFont="1" applyFill="1" applyBorder="1" applyAlignment="1"/>
    <xf numFmtId="170" fontId="18" fillId="0" borderId="21" xfId="1" applyNumberFormat="1" applyFont="1" applyFill="1" applyBorder="1" applyAlignment="1">
      <alignment horizontal="center"/>
    </xf>
    <xf numFmtId="170" fontId="18" fillId="0" borderId="21" xfId="1" applyNumberFormat="1" applyFont="1" applyFill="1" applyBorder="1" applyAlignment="1" applyProtection="1"/>
    <xf numFmtId="170" fontId="17" fillId="0" borderId="14" xfId="1" applyNumberFormat="1" applyFont="1" applyFill="1" applyBorder="1" applyAlignment="1">
      <alignment vertical="center"/>
    </xf>
    <xf numFmtId="170" fontId="18" fillId="0" borderId="21" xfId="1" applyNumberFormat="1" applyFont="1" applyFill="1" applyBorder="1" applyAlignment="1">
      <alignment vertical="center"/>
    </xf>
    <xf numFmtId="170" fontId="17" fillId="0" borderId="14" xfId="1" applyNumberFormat="1" applyFont="1" applyFill="1" applyBorder="1" applyAlignment="1">
      <alignment horizontal="right" vertical="center"/>
    </xf>
    <xf numFmtId="170" fontId="17" fillId="0" borderId="21" xfId="1" applyNumberFormat="1" applyFont="1" applyFill="1" applyBorder="1" applyAlignment="1"/>
    <xf numFmtId="170" fontId="17" fillId="0" borderId="14" xfId="1" applyNumberFormat="1" applyFont="1" applyFill="1" applyBorder="1" applyAlignment="1" applyProtection="1">
      <alignment horizontal="right"/>
    </xf>
    <xf numFmtId="170" fontId="18" fillId="0" borderId="14" xfId="1" applyNumberFormat="1" applyFont="1" applyFill="1" applyBorder="1" applyAlignment="1"/>
    <xf numFmtId="170" fontId="17" fillId="0" borderId="14" xfId="1" applyNumberFormat="1" applyFont="1" applyFill="1" applyBorder="1" applyAlignment="1" applyProtection="1"/>
    <xf numFmtId="170" fontId="17" fillId="0" borderId="21" xfId="1" applyNumberFormat="1" applyFont="1" applyFill="1" applyBorder="1" applyAlignment="1">
      <alignment horizontal="right"/>
    </xf>
    <xf numFmtId="170" fontId="17" fillId="0" borderId="14" xfId="1" applyNumberFormat="1" applyFont="1" applyFill="1" applyBorder="1"/>
    <xf numFmtId="170" fontId="18" fillId="0" borderId="14" xfId="1" applyNumberFormat="1" applyFont="1" applyFill="1" applyBorder="1" applyAlignment="1">
      <alignment horizontal="center"/>
    </xf>
    <xf numFmtId="170" fontId="18" fillId="0" borderId="14" xfId="3" quotePrefix="1" applyNumberFormat="1" applyFont="1" applyBorder="1" applyAlignment="1">
      <alignment horizontal="center"/>
    </xf>
    <xf numFmtId="170" fontId="18" fillId="0" borderId="28" xfId="1" applyNumberFormat="1" applyFont="1" applyFill="1" applyBorder="1" applyAlignment="1">
      <alignment horizontal="right"/>
    </xf>
    <xf numFmtId="170" fontId="18" fillId="0" borderId="28" xfId="1" applyNumberFormat="1" applyFont="1" applyFill="1" applyBorder="1" applyAlignment="1"/>
    <xf numFmtId="165" fontId="18" fillId="0" borderId="9" xfId="3" applyNumberFormat="1" applyFont="1" applyBorder="1" applyAlignment="1">
      <alignment horizontal="center"/>
    </xf>
    <xf numFmtId="165" fontId="18" fillId="0" borderId="0" xfId="3" applyNumberFormat="1" applyFont="1" applyAlignment="1">
      <alignment horizontal="center"/>
    </xf>
    <xf numFmtId="0" fontId="17" fillId="0" borderId="25" xfId="1" applyNumberFormat="1" applyFont="1" applyFill="1" applyBorder="1" applyAlignment="1">
      <alignment horizontal="left" wrapText="1" indent="1"/>
    </xf>
    <xf numFmtId="164" fontId="18" fillId="0" borderId="25" xfId="3" quotePrefix="1" applyNumberFormat="1" applyFont="1" applyBorder="1" applyAlignment="1">
      <alignment horizontal="center"/>
    </xf>
    <xf numFmtId="164" fontId="18" fillId="0" borderId="25" xfId="1" applyFont="1" applyFill="1" applyBorder="1" applyAlignment="1">
      <alignment horizontal="center"/>
    </xf>
    <xf numFmtId="164" fontId="17" fillId="0" borderId="25" xfId="3" applyNumberFormat="1" applyFont="1" applyBorder="1" applyAlignment="1">
      <alignment wrapText="1"/>
    </xf>
    <xf numFmtId="164" fontId="18" fillId="0" borderId="25" xfId="3" applyNumberFormat="1" applyFont="1" applyBorder="1" applyAlignment="1">
      <alignment wrapText="1"/>
    </xf>
    <xf numFmtId="170" fontId="17" fillId="0" borderId="14" xfId="3" applyNumberFormat="1" applyFont="1" applyBorder="1" applyAlignment="1">
      <alignment wrapText="1"/>
    </xf>
    <xf numFmtId="170" fontId="3" fillId="0" borderId="14" xfId="1" applyNumberFormat="1" applyFont="1" applyFill="1" applyBorder="1" applyAlignment="1">
      <alignment wrapText="1"/>
    </xf>
    <xf numFmtId="170" fontId="18" fillId="0" borderId="14" xfId="1" applyNumberFormat="1" applyFont="1" applyFill="1" applyBorder="1" applyAlignment="1">
      <alignment wrapText="1"/>
    </xf>
    <xf numFmtId="170" fontId="3" fillId="0" borderId="14" xfId="1" applyNumberFormat="1" applyFont="1" applyFill="1" applyBorder="1" applyAlignment="1"/>
    <xf numFmtId="170" fontId="35" fillId="0" borderId="14" xfId="1" applyNumberFormat="1" applyFont="1" applyFill="1" applyBorder="1" applyAlignment="1"/>
    <xf numFmtId="170" fontId="36" fillId="0" borderId="14" xfId="1" applyNumberFormat="1" applyFont="1" applyFill="1" applyBorder="1" applyAlignment="1"/>
    <xf numFmtId="170" fontId="18" fillId="0" borderId="14" xfId="1" quotePrefix="1" applyNumberFormat="1" applyFont="1" applyFill="1" applyBorder="1" applyAlignment="1">
      <alignment wrapText="1"/>
    </xf>
    <xf numFmtId="170" fontId="3" fillId="0" borderId="14" xfId="1" applyNumberFormat="1" applyFont="1" applyFill="1" applyBorder="1" applyAlignment="1">
      <alignment vertical="center" wrapText="1"/>
    </xf>
    <xf numFmtId="170" fontId="17" fillId="0" borderId="23" xfId="1" applyNumberFormat="1" applyFont="1" applyFill="1" applyBorder="1" applyAlignment="1">
      <alignment wrapText="1"/>
    </xf>
    <xf numFmtId="170" fontId="18" fillId="0" borderId="13" xfId="1" applyNumberFormat="1" applyFont="1" applyFill="1" applyBorder="1" applyAlignment="1">
      <alignment horizontal="center"/>
    </xf>
    <xf numFmtId="170" fontId="18" fillId="0" borderId="14" xfId="1" quotePrefix="1" applyNumberFormat="1" applyFont="1" applyFill="1" applyBorder="1" applyAlignment="1">
      <alignment horizontal="center"/>
    </xf>
    <xf numFmtId="164" fontId="18" fillId="7" borderId="13" xfId="1" applyFont="1" applyFill="1" applyBorder="1" applyAlignment="1">
      <alignment horizontal="center"/>
    </xf>
    <xf numFmtId="164" fontId="18" fillId="7" borderId="14" xfId="1" quotePrefix="1" applyFont="1" applyFill="1" applyBorder="1" applyAlignment="1">
      <alignment horizontal="center"/>
    </xf>
    <xf numFmtId="164" fontId="18" fillId="7" borderId="25" xfId="1" applyFont="1" applyFill="1" applyBorder="1" applyAlignment="1">
      <alignment horizontal="center"/>
    </xf>
    <xf numFmtId="164" fontId="18" fillId="7" borderId="25" xfId="1" applyFont="1" applyFill="1" applyBorder="1" applyAlignment="1"/>
    <xf numFmtId="164" fontId="17" fillId="7" borderId="13" xfId="1" applyFont="1" applyFill="1" applyBorder="1" applyAlignment="1">
      <alignment horizontal="center"/>
    </xf>
    <xf numFmtId="170" fontId="17" fillId="7" borderId="14" xfId="1" applyNumberFormat="1" applyFont="1" applyFill="1" applyBorder="1" applyAlignment="1">
      <alignment horizontal="center"/>
    </xf>
    <xf numFmtId="170" fontId="1" fillId="7" borderId="14" xfId="0" applyNumberFormat="1" applyFont="1" applyFill="1" applyBorder="1"/>
    <xf numFmtId="170" fontId="1" fillId="7" borderId="22" xfId="0" applyNumberFormat="1" applyFont="1" applyFill="1" applyBorder="1"/>
    <xf numFmtId="170" fontId="17" fillId="7" borderId="23" xfId="1" applyNumberFormat="1" applyFont="1" applyFill="1" applyBorder="1" applyAlignment="1"/>
    <xf numFmtId="170" fontId="17" fillId="7" borderId="14" xfId="1" applyNumberFormat="1" applyFont="1" applyFill="1" applyBorder="1" applyAlignment="1"/>
    <xf numFmtId="170" fontId="17" fillId="7" borderId="21" xfId="1" applyNumberFormat="1" applyFont="1" applyFill="1" applyBorder="1" applyAlignment="1">
      <alignment horizontal="right"/>
    </xf>
    <xf numFmtId="170" fontId="17" fillId="7" borderId="14" xfId="1" applyNumberFormat="1" applyFont="1" applyFill="1" applyBorder="1" applyAlignment="1">
      <alignment horizontal="right"/>
    </xf>
    <xf numFmtId="170" fontId="17" fillId="7" borderId="21" xfId="1" applyNumberFormat="1" applyFont="1" applyFill="1" applyBorder="1" applyAlignment="1"/>
    <xf numFmtId="170" fontId="18" fillId="7" borderId="21" xfId="1" applyNumberFormat="1" applyFont="1" applyFill="1" applyBorder="1" applyAlignment="1"/>
    <xf numFmtId="170" fontId="18" fillId="7" borderId="21" xfId="1" applyNumberFormat="1" applyFont="1" applyFill="1" applyBorder="1" applyAlignment="1">
      <alignment horizontal="right"/>
    </xf>
    <xf numFmtId="170" fontId="3" fillId="7" borderId="14" xfId="1" applyNumberFormat="1" applyFont="1" applyFill="1" applyBorder="1" applyAlignment="1"/>
    <xf numFmtId="170" fontId="17" fillId="7" borderId="14" xfId="1" applyNumberFormat="1" applyFont="1" applyFill="1" applyBorder="1"/>
    <xf numFmtId="170" fontId="17" fillId="7" borderId="22" xfId="1" applyNumberFormat="1" applyFont="1" applyFill="1" applyBorder="1" applyAlignment="1"/>
    <xf numFmtId="170" fontId="17" fillId="7" borderId="14" xfId="0" applyNumberFormat="1" applyFont="1" applyFill="1" applyBorder="1"/>
    <xf numFmtId="170" fontId="18" fillId="7" borderId="21" xfId="1" applyNumberFormat="1" applyFont="1" applyFill="1" applyBorder="1" applyAlignment="1" applyProtection="1"/>
    <xf numFmtId="170" fontId="17" fillId="7" borderId="14" xfId="1" applyNumberFormat="1" applyFont="1" applyFill="1" applyBorder="1" applyAlignment="1" applyProtection="1"/>
    <xf numFmtId="170" fontId="17" fillId="7" borderId="21" xfId="1" applyNumberFormat="1" applyFont="1" applyFill="1" applyBorder="1" applyAlignment="1">
      <alignment vertical="center"/>
    </xf>
    <xf numFmtId="170" fontId="17" fillId="7" borderId="14" xfId="1" applyNumberFormat="1" applyFont="1" applyFill="1" applyBorder="1" applyAlignment="1">
      <alignment vertical="center"/>
    </xf>
    <xf numFmtId="170" fontId="17" fillId="7" borderId="14" xfId="1" quotePrefix="1" applyNumberFormat="1" applyFont="1" applyFill="1" applyBorder="1" applyAlignment="1">
      <alignment horizontal="center"/>
    </xf>
    <xf numFmtId="170" fontId="18" fillId="7" borderId="28" xfId="1" applyNumberFormat="1" applyFont="1" applyFill="1" applyBorder="1" applyAlignment="1"/>
    <xf numFmtId="164" fontId="17" fillId="0" borderId="25" xfId="1" applyFont="1" applyFill="1" applyBorder="1" applyAlignment="1"/>
    <xf numFmtId="170" fontId="17" fillId="0" borderId="14" xfId="3" applyNumberFormat="1" applyFont="1" applyBorder="1"/>
    <xf numFmtId="170" fontId="4" fillId="0" borderId="21" xfId="1" applyNumberFormat="1" applyFont="1" applyFill="1" applyBorder="1" applyAlignment="1"/>
    <xf numFmtId="170" fontId="17" fillId="0" borderId="14" xfId="3" applyNumberFormat="1" applyFont="1" applyBorder="1" applyAlignment="1">
      <alignment horizontal="right"/>
    </xf>
    <xf numFmtId="0" fontId="17" fillId="0" borderId="11" xfId="3" applyFont="1" applyBorder="1" applyAlignment="1">
      <alignment horizontal="left"/>
    </xf>
    <xf numFmtId="170" fontId="17" fillId="0" borderId="25" xfId="1" applyNumberFormat="1" applyFont="1" applyFill="1" applyBorder="1" applyAlignment="1">
      <alignment horizontal="right"/>
    </xf>
    <xf numFmtId="170" fontId="17" fillId="0" borderId="25" xfId="1" applyNumberFormat="1" applyFont="1" applyFill="1" applyBorder="1" applyAlignment="1"/>
    <xf numFmtId="170" fontId="17" fillId="7" borderId="25" xfId="1" applyNumberFormat="1" applyFont="1" applyFill="1" applyBorder="1" applyAlignment="1"/>
    <xf numFmtId="167" fontId="17" fillId="0" borderId="11" xfId="1" applyNumberFormat="1" applyFont="1" applyFill="1" applyBorder="1" applyAlignment="1">
      <alignment horizontal="right"/>
    </xf>
    <xf numFmtId="167" fontId="17" fillId="0" borderId="11" xfId="1" applyNumberFormat="1" applyFont="1" applyFill="1" applyBorder="1"/>
    <xf numFmtId="0" fontId="17" fillId="0" borderId="11" xfId="3" applyFont="1" applyBorder="1"/>
    <xf numFmtId="0" fontId="17" fillId="0" borderId="11" xfId="3" quotePrefix="1" applyFont="1" applyBorder="1" applyAlignment="1">
      <alignment horizontal="center"/>
    </xf>
    <xf numFmtId="43" fontId="17" fillId="0" borderId="11" xfId="3" applyNumberFormat="1" applyFont="1" applyBorder="1"/>
    <xf numFmtId="0" fontId="17" fillId="0" borderId="11" xfId="3" applyFont="1" applyBorder="1" applyAlignment="1">
      <alignment horizontal="left" vertical="center"/>
    </xf>
    <xf numFmtId="0" fontId="17" fillId="0" borderId="11" xfId="3" quotePrefix="1" applyFont="1" applyBorder="1" applyAlignment="1">
      <alignment horizontal="center" vertical="center"/>
    </xf>
    <xf numFmtId="0" fontId="18" fillId="0" borderId="28" xfId="1" applyNumberFormat="1" applyFont="1" applyFill="1" applyBorder="1" applyAlignment="1">
      <alignment horizontal="left" wrapText="1" indent="1"/>
    </xf>
    <xf numFmtId="170" fontId="18" fillId="0" borderId="28" xfId="1" applyNumberFormat="1" applyFont="1" applyFill="1" applyBorder="1" applyAlignment="1">
      <alignment vertical="center"/>
    </xf>
    <xf numFmtId="170" fontId="18" fillId="7" borderId="28" xfId="1" applyNumberFormat="1" applyFont="1" applyFill="1" applyBorder="1" applyAlignment="1">
      <alignment vertical="center"/>
    </xf>
    <xf numFmtId="167" fontId="18" fillId="0" borderId="38" xfId="1" applyNumberFormat="1" applyFont="1" applyFill="1" applyBorder="1" applyAlignment="1">
      <alignment vertical="center"/>
    </xf>
    <xf numFmtId="167" fontId="18" fillId="0" borderId="28" xfId="1" applyNumberFormat="1" applyFont="1" applyFill="1" applyBorder="1" applyAlignment="1">
      <alignment vertical="center"/>
    </xf>
    <xf numFmtId="167" fontId="18" fillId="0" borderId="29" xfId="1" applyNumberFormat="1" applyFont="1" applyFill="1" applyBorder="1" applyAlignment="1">
      <alignment vertical="center"/>
    </xf>
    <xf numFmtId="0" fontId="17" fillId="0" borderId="11" xfId="3" applyFont="1" applyBorder="1" applyAlignment="1">
      <alignment horizontal="center" vertical="center"/>
    </xf>
    <xf numFmtId="0" fontId="18" fillId="0" borderId="25" xfId="1" applyNumberFormat="1" applyFont="1" applyFill="1" applyBorder="1" applyAlignment="1">
      <alignment horizontal="left" vertical="center" wrapText="1" indent="1"/>
    </xf>
    <xf numFmtId="170" fontId="17" fillId="0" borderId="25" xfId="1" applyNumberFormat="1" applyFont="1" applyFill="1" applyBorder="1" applyAlignment="1">
      <alignment wrapText="1"/>
    </xf>
    <xf numFmtId="165" fontId="4" fillId="0" borderId="1" xfId="5" applyNumberFormat="1" applyFont="1" applyBorder="1" applyAlignment="1">
      <alignment horizontal="center"/>
    </xf>
    <xf numFmtId="165" fontId="4" fillId="0" borderId="2" xfId="5" applyNumberFormat="1" applyFont="1" applyBorder="1" applyAlignment="1">
      <alignment horizontal="center"/>
    </xf>
    <xf numFmtId="165" fontId="4" fillId="0" borderId="18" xfId="5" applyNumberFormat="1" applyFont="1" applyBorder="1" applyAlignment="1">
      <alignment horizontal="center"/>
    </xf>
    <xf numFmtId="165" fontId="4" fillId="0" borderId="3" xfId="5" applyNumberFormat="1" applyFont="1" applyBorder="1" applyAlignment="1">
      <alignment horizontal="center"/>
    </xf>
    <xf numFmtId="165" fontId="4" fillId="0" borderId="4" xfId="5" applyNumberFormat="1" applyFont="1" applyBorder="1" applyAlignment="1">
      <alignment horizontal="center"/>
    </xf>
    <xf numFmtId="165" fontId="4" fillId="0" borderId="19" xfId="5" applyNumberFormat="1" applyFont="1" applyBorder="1" applyAlignment="1">
      <alignment horizontal="center"/>
    </xf>
    <xf numFmtId="165" fontId="4" fillId="0" borderId="5" xfId="5" applyNumberFormat="1" applyFont="1" applyBorder="1" applyAlignment="1">
      <alignment horizontal="center"/>
    </xf>
    <xf numFmtId="165" fontId="4" fillId="0" borderId="6" xfId="5" applyNumberFormat="1" applyFont="1" applyBorder="1" applyAlignment="1">
      <alignment horizontal="center"/>
    </xf>
    <xf numFmtId="165" fontId="4" fillId="0" borderId="16" xfId="5" applyNumberFormat="1" applyFont="1" applyBorder="1" applyAlignment="1">
      <alignment horizontal="center"/>
    </xf>
    <xf numFmtId="165" fontId="4" fillId="0" borderId="10" xfId="5" applyNumberFormat="1" applyFont="1" applyBorder="1" applyAlignment="1">
      <alignment horizontal="center"/>
    </xf>
    <xf numFmtId="165" fontId="4" fillId="0" borderId="11" xfId="5" applyNumberFormat="1" applyFont="1" applyBorder="1" applyAlignment="1">
      <alignment horizontal="center"/>
    </xf>
    <xf numFmtId="165" fontId="4" fillId="0" borderId="15" xfId="5" applyNumberFormat="1" applyFont="1" applyBorder="1" applyAlignment="1">
      <alignment horizontal="center"/>
    </xf>
    <xf numFmtId="165" fontId="4" fillId="0" borderId="9" xfId="5" applyNumberFormat="1" applyFont="1" applyBorder="1" applyAlignment="1">
      <alignment horizontal="center"/>
    </xf>
    <xf numFmtId="165" fontId="4" fillId="0" borderId="0" xfId="5" applyNumberFormat="1" applyFont="1" applyAlignment="1">
      <alignment horizontal="center"/>
    </xf>
    <xf numFmtId="165" fontId="4" fillId="0" borderId="12" xfId="5" applyNumberFormat="1" applyFont="1" applyBorder="1" applyAlignment="1">
      <alignment horizontal="center"/>
    </xf>
    <xf numFmtId="0" fontId="18" fillId="0" borderId="26" xfId="2" applyFont="1" applyBorder="1" applyAlignment="1">
      <alignment horizontal="center"/>
    </xf>
    <xf numFmtId="0" fontId="18" fillId="0" borderId="17" xfId="2" applyFont="1" applyBorder="1" applyAlignment="1">
      <alignment horizontal="center"/>
    </xf>
    <xf numFmtId="165" fontId="18" fillId="0" borderId="3" xfId="3" applyNumberFormat="1" applyFont="1" applyBorder="1" applyAlignment="1">
      <alignment horizontal="center"/>
    </xf>
    <xf numFmtId="165" fontId="18" fillId="0" borderId="4" xfId="3" applyNumberFormat="1" applyFont="1" applyBorder="1" applyAlignment="1">
      <alignment horizontal="center"/>
    </xf>
    <xf numFmtId="165" fontId="18" fillId="0" borderId="5" xfId="3" applyNumberFormat="1" applyFont="1" applyBorder="1" applyAlignment="1">
      <alignment horizontal="center"/>
    </xf>
    <xf numFmtId="165" fontId="18" fillId="0" borderId="6" xfId="3" applyNumberFormat="1" applyFont="1" applyBorder="1" applyAlignment="1">
      <alignment horizontal="center"/>
    </xf>
    <xf numFmtId="165" fontId="18" fillId="0" borderId="8" xfId="3" applyNumberFormat="1" applyFont="1" applyBorder="1" applyAlignment="1">
      <alignment horizontal="center"/>
    </xf>
    <xf numFmtId="38" fontId="4" fillId="0" borderId="5" xfId="6" applyNumberFormat="1" applyFont="1" applyFill="1" applyBorder="1" applyAlignment="1">
      <alignment horizontal="center" vertical="top"/>
    </xf>
    <xf numFmtId="38" fontId="4" fillId="0" borderId="6" xfId="6" applyNumberFormat="1" applyFont="1" applyFill="1" applyBorder="1" applyAlignment="1">
      <alignment horizontal="center" vertical="top"/>
    </xf>
    <xf numFmtId="38" fontId="4" fillId="0" borderId="16" xfId="6" applyNumberFormat="1" applyFont="1" applyFill="1" applyBorder="1" applyAlignment="1">
      <alignment horizontal="center" vertical="top"/>
    </xf>
    <xf numFmtId="38" fontId="4" fillId="0" borderId="2" xfId="6" applyNumberFormat="1" applyFont="1" applyBorder="1" applyAlignment="1">
      <alignment horizontal="center" vertical="top"/>
    </xf>
    <xf numFmtId="38" fontId="4" fillId="0" borderId="2" xfId="6" quotePrefix="1" applyNumberFormat="1" applyFont="1" applyBorder="1" applyAlignment="1">
      <alignment horizontal="center" vertical="top"/>
    </xf>
    <xf numFmtId="38" fontId="4" fillId="0" borderId="4" xfId="6" applyNumberFormat="1" applyFont="1" applyBorder="1" applyAlignment="1">
      <alignment horizontal="center" vertical="top"/>
    </xf>
    <xf numFmtId="38" fontId="4" fillId="0" borderId="11" xfId="6" quotePrefix="1" applyNumberFormat="1" applyFont="1" applyBorder="1" applyAlignment="1">
      <alignment horizontal="center" vertical="top"/>
    </xf>
    <xf numFmtId="38" fontId="4" fillId="0" borderId="6" xfId="6" applyNumberFormat="1" applyFont="1" applyBorder="1" applyAlignment="1">
      <alignment horizontal="center" vertical="top"/>
    </xf>
    <xf numFmtId="38" fontId="4" fillId="0" borderId="10" xfId="6" applyNumberFormat="1" applyFont="1" applyFill="1" applyBorder="1" applyAlignment="1">
      <alignment horizontal="center" vertical="top"/>
    </xf>
    <xf numFmtId="38" fontId="4" fillId="0" borderId="11" xfId="6" applyNumberFormat="1" applyFont="1" applyFill="1" applyBorder="1" applyAlignment="1">
      <alignment horizontal="center" vertical="top"/>
    </xf>
    <xf numFmtId="38" fontId="4" fillId="0" borderId="15" xfId="6" applyNumberFormat="1" applyFont="1" applyFill="1" applyBorder="1" applyAlignment="1">
      <alignment horizontal="center" vertical="top"/>
    </xf>
    <xf numFmtId="0" fontId="4" fillId="0" borderId="1" xfId="7" applyFont="1" applyBorder="1" applyAlignment="1">
      <alignment horizontal="center"/>
    </xf>
    <xf numFmtId="0" fontId="4" fillId="0" borderId="2" xfId="7" quotePrefix="1" applyFont="1" applyBorder="1" applyAlignment="1">
      <alignment horizontal="center"/>
    </xf>
    <xf numFmtId="0" fontId="4" fillId="0" borderId="10" xfId="7" applyFont="1" applyBorder="1" applyAlignment="1">
      <alignment horizontal="center"/>
    </xf>
    <xf numFmtId="0" fontId="4" fillId="0" borderId="11" xfId="7" applyFont="1" applyBorder="1" applyAlignment="1">
      <alignment horizontal="center"/>
    </xf>
    <xf numFmtId="0" fontId="11" fillId="0" borderId="5" xfId="7" quotePrefix="1" applyFont="1" applyBorder="1" applyAlignment="1">
      <alignment horizontal="center"/>
    </xf>
    <xf numFmtId="0" fontId="11" fillId="0" borderId="6" xfId="7" quotePrefix="1" applyFont="1" applyBorder="1" applyAlignment="1">
      <alignment horizontal="center"/>
    </xf>
    <xf numFmtId="40" fontId="4" fillId="0" borderId="1" xfId="6" applyFont="1" applyBorder="1" applyAlignment="1">
      <alignment horizontal="center" vertical="top" wrapText="1"/>
    </xf>
    <xf numFmtId="40" fontId="4" fillId="0" borderId="2" xfId="6" applyFont="1" applyBorder="1" applyAlignment="1">
      <alignment horizontal="center" vertical="top" wrapText="1"/>
    </xf>
    <xf numFmtId="40" fontId="4" fillId="0" borderId="18" xfId="6" applyFont="1" applyBorder="1" applyAlignment="1">
      <alignment horizontal="center" vertical="top" wrapText="1"/>
    </xf>
    <xf numFmtId="40" fontId="4" fillId="0" borderId="39" xfId="6" applyFont="1" applyBorder="1" applyAlignment="1">
      <alignment horizontal="center" vertical="top" wrapText="1"/>
    </xf>
    <xf numFmtId="40" fontId="4" fillId="0" borderId="40" xfId="6" applyFont="1" applyBorder="1" applyAlignment="1">
      <alignment horizontal="center" vertical="top" wrapText="1"/>
    </xf>
    <xf numFmtId="40" fontId="4" fillId="0" borderId="41" xfId="6" applyFont="1" applyBorder="1" applyAlignment="1">
      <alignment horizontal="center" vertical="top" wrapText="1"/>
    </xf>
    <xf numFmtId="40" fontId="4" fillId="0" borderId="9" xfId="6" applyFont="1" applyBorder="1" applyAlignment="1">
      <alignment horizontal="center" vertical="top" wrapText="1"/>
    </xf>
    <xf numFmtId="40" fontId="4" fillId="0" borderId="0" xfId="6" applyFont="1" applyBorder="1" applyAlignment="1">
      <alignment horizontal="center" vertical="top" wrapText="1"/>
    </xf>
    <xf numFmtId="40" fontId="4" fillId="0" borderId="12" xfId="6" applyFont="1" applyBorder="1" applyAlignment="1">
      <alignment horizontal="center" vertical="top" wrapText="1"/>
    </xf>
  </cellXfs>
  <cellStyles count="11">
    <cellStyle name="Comma" xfId="1" builtinId="3"/>
    <cellStyle name="Comma 3" xfId="6" xr:uid="{00000000-0005-0000-0000-000001000000}"/>
    <cellStyle name="Comma_Revest2006" xfId="4" xr:uid="{00000000-0005-0000-0000-000002000000}"/>
    <cellStyle name="Normal" xfId="0" builtinId="0"/>
    <cellStyle name="Normal 8" xfId="8" xr:uid="{00000000-0005-0000-0000-000004000000}"/>
    <cellStyle name="Normal_Financial Statements 2007-08" xfId="10" xr:uid="{00000000-0005-0000-0000-000005000000}"/>
    <cellStyle name="Normal_Revest2006" xfId="3" xr:uid="{00000000-0005-0000-0000-000006000000}"/>
    <cellStyle name="Normal_REVSUM2006" xfId="5" xr:uid="{00000000-0005-0000-0000-000007000000}"/>
    <cellStyle name="Normal_s4_2000" xfId="2" xr:uid="{00000000-0005-0000-0000-000008000000}"/>
    <cellStyle name="Normal_ST IX  X 2006" xfId="7" xr:uid="{00000000-0005-0000-0000-000009000000}"/>
    <cellStyle name="Percent" xfId="9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trevor.anderson/AppData/Local/Microsoft/Windows/Temporary%20Internet%20Files/Content.Outlook/JKAFZFW5/RECEIPT%20STATEMENT%20-%20March%202022%20FINAL%20(2).xlsx" TargetMode="External"/><Relationship Id="rId1" Type="http://schemas.openxmlformats.org/officeDocument/2006/relationships/externalLinkPath" Target="/Users/trevor.anderson/AppData/Local/Microsoft/Windows/Temporary%20Internet%20Files/Content.Outlook/JKAFZFW5/RECEIPT%20STATEMENT%20-%20March%202022%20FINAL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onsolidated%20Funds\CONSOLIDATEDFUND%20FILES\Natalie\Ass%20AG%20R&amp;E\April%20to%20July%202022%20Statement%2015%20Final%20last%20updated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/CONSOLIDATEDFUND%20FILES/MISC%20REV%20MONTHLY/20182019/Statement%2015%20April%20to%20March%202019.xlsx" TargetMode="External"/><Relationship Id="rId1" Type="http://schemas.openxmlformats.org/officeDocument/2006/relationships/externalLinkPath" Target="/CONSOLIDATEDFUND%20FILES/MISC%20REV%20MONTHLY/20182019/Statement%2015%20April%20to%20March%202019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rondeen.mcdonald/Downloads/de-earmarked.xlsx" TargetMode="External"/><Relationship Id="rId1" Type="http://schemas.openxmlformats.org/officeDocument/2006/relationships/externalLinkPath" Target="/Users/rondeen.mcdonald/Downloads/de-earmark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arch 2022"/>
      <sheetName val="RECEIPT STATEMENTS"/>
    </sheetNames>
    <sheetDataSet>
      <sheetData sheetId="0">
        <row r="8">
          <cell r="E8">
            <v>52169363366.626007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ril"/>
      <sheetName val="May"/>
      <sheetName val="June"/>
      <sheetName val="July"/>
      <sheetName val="To d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1">
          <cell r="M11">
            <v>19331739438.27</v>
          </cell>
        </row>
        <row r="74">
          <cell r="M74">
            <v>116647.74</v>
          </cell>
        </row>
        <row r="78">
          <cell r="M78">
            <v>2000</v>
          </cell>
        </row>
        <row r="79">
          <cell r="M79">
            <v>336649.86</v>
          </cell>
        </row>
        <row r="89">
          <cell r="M89">
            <v>8378</v>
          </cell>
        </row>
        <row r="99">
          <cell r="M99">
            <v>24473147.539999999</v>
          </cell>
        </row>
        <row r="109">
          <cell r="I109">
            <v>195254476</v>
          </cell>
        </row>
        <row r="111">
          <cell r="M111">
            <v>58690498.18</v>
          </cell>
        </row>
        <row r="112">
          <cell r="M112">
            <v>303643.75</v>
          </cell>
        </row>
        <row r="113">
          <cell r="M113">
            <v>7623915.6600000001</v>
          </cell>
        </row>
        <row r="132">
          <cell r="M132">
            <v>29812400.600000001</v>
          </cell>
        </row>
        <row r="133">
          <cell r="M133">
            <v>3544583000</v>
          </cell>
        </row>
        <row r="141">
          <cell r="M141">
            <v>2474378.33</v>
          </cell>
        </row>
        <row r="142">
          <cell r="M142">
            <v>360947.35</v>
          </cell>
        </row>
        <row r="143">
          <cell r="M143">
            <v>110454038.06999999</v>
          </cell>
        </row>
        <row r="144">
          <cell r="M144">
            <v>1241629.25</v>
          </cell>
        </row>
        <row r="153">
          <cell r="M153">
            <v>1449079416.98</v>
          </cell>
        </row>
        <row r="154">
          <cell r="M154">
            <v>4571770.8362266682</v>
          </cell>
        </row>
        <row r="161">
          <cell r="M161">
            <v>1013944.53</v>
          </cell>
        </row>
        <row r="163">
          <cell r="M163">
            <v>328984129.61000001</v>
          </cell>
        </row>
        <row r="170">
          <cell r="M170">
            <v>19587424.369999997</v>
          </cell>
        </row>
        <row r="174">
          <cell r="I174">
            <v>11521336.84</v>
          </cell>
        </row>
        <row r="175">
          <cell r="M175">
            <v>9082307.929999996</v>
          </cell>
        </row>
        <row r="176">
          <cell r="M176">
            <v>869516713.29999995</v>
          </cell>
        </row>
        <row r="178">
          <cell r="M178">
            <v>622193041.66999996</v>
          </cell>
        </row>
        <row r="184">
          <cell r="M184">
            <v>123333038.86</v>
          </cell>
        </row>
        <row r="186">
          <cell r="M186">
            <v>130671.04999999999</v>
          </cell>
        </row>
        <row r="187">
          <cell r="M187">
            <v>708946013.82000005</v>
          </cell>
        </row>
        <row r="189">
          <cell r="M189">
            <v>4675445.42</v>
          </cell>
        </row>
        <row r="190">
          <cell r="M190">
            <v>158835730.80000001</v>
          </cell>
        </row>
        <row r="191">
          <cell r="M191">
            <v>7177368.7400000002</v>
          </cell>
        </row>
        <row r="192">
          <cell r="M192">
            <v>14418965.250000002</v>
          </cell>
        </row>
        <row r="194">
          <cell r="M194">
            <v>1642064.13</v>
          </cell>
        </row>
        <row r="205">
          <cell r="M205">
            <v>1104933.22</v>
          </cell>
        </row>
        <row r="213">
          <cell r="M213">
            <v>8192500</v>
          </cell>
        </row>
        <row r="217">
          <cell r="M217">
            <v>3000</v>
          </cell>
        </row>
        <row r="218">
          <cell r="M218">
            <v>7392217.3300000001</v>
          </cell>
        </row>
        <row r="223">
          <cell r="M223">
            <v>2323723.67</v>
          </cell>
        </row>
        <row r="233">
          <cell r="M233">
            <v>39703627.859999999</v>
          </cell>
        </row>
        <row r="234">
          <cell r="M234">
            <v>40674529</v>
          </cell>
        </row>
        <row r="236">
          <cell r="M236">
            <v>1011.93</v>
          </cell>
        </row>
        <row r="238">
          <cell r="M238">
            <v>6808877.1100000003</v>
          </cell>
        </row>
        <row r="249">
          <cell r="M249">
            <v>4769308.1400000006</v>
          </cell>
        </row>
        <row r="251">
          <cell r="M251">
            <v>2097313.54</v>
          </cell>
        </row>
        <row r="253">
          <cell r="M253">
            <v>665415.59</v>
          </cell>
        </row>
        <row r="257">
          <cell r="M257">
            <v>62335413.109999999</v>
          </cell>
        </row>
        <row r="258">
          <cell r="M258">
            <v>946127.6100000001</v>
          </cell>
        </row>
        <row r="259">
          <cell r="M259">
            <v>303986.29000000004</v>
          </cell>
        </row>
        <row r="261">
          <cell r="M261">
            <v>241128229.48999998</v>
          </cell>
        </row>
        <row r="262">
          <cell r="M262">
            <v>451345.4</v>
          </cell>
        </row>
        <row r="267">
          <cell r="M267">
            <v>113207.89</v>
          </cell>
        </row>
        <row r="271">
          <cell r="M271">
            <v>32696625.149999999</v>
          </cell>
        </row>
        <row r="276">
          <cell r="M276">
            <v>3619256.85</v>
          </cell>
        </row>
        <row r="278">
          <cell r="M278">
            <v>5995888.1399999997</v>
          </cell>
        </row>
        <row r="279">
          <cell r="M279">
            <v>3276110.33</v>
          </cell>
        </row>
        <row r="294">
          <cell r="M294">
            <v>142775</v>
          </cell>
        </row>
        <row r="299">
          <cell r="M299">
            <v>159322.68</v>
          </cell>
        </row>
        <row r="309">
          <cell r="M309">
            <v>346900.68</v>
          </cell>
        </row>
        <row r="310">
          <cell r="M310">
            <v>153400</v>
          </cell>
        </row>
        <row r="311">
          <cell r="M311">
            <v>1813712.04</v>
          </cell>
        </row>
        <row r="319">
          <cell r="M319">
            <v>725956.61</v>
          </cell>
        </row>
        <row r="324">
          <cell r="M324">
            <v>1230000</v>
          </cell>
        </row>
        <row r="328">
          <cell r="M328">
            <v>350</v>
          </cell>
        </row>
        <row r="332">
          <cell r="M332">
            <v>1184329</v>
          </cell>
        </row>
        <row r="333">
          <cell r="M333">
            <v>10695827</v>
          </cell>
        </row>
        <row r="334">
          <cell r="M334">
            <v>665335.80000000005</v>
          </cell>
        </row>
        <row r="335">
          <cell r="M335">
            <v>600000</v>
          </cell>
        </row>
        <row r="336">
          <cell r="M336">
            <v>827500</v>
          </cell>
        </row>
        <row r="337">
          <cell r="M337">
            <v>77000</v>
          </cell>
        </row>
        <row r="338">
          <cell r="M338">
            <v>715850</v>
          </cell>
        </row>
        <row r="349">
          <cell r="I349">
            <v>29000</v>
          </cell>
        </row>
        <row r="359">
          <cell r="M359">
            <v>14075950</v>
          </cell>
        </row>
        <row r="360">
          <cell r="M360">
            <v>141254</v>
          </cell>
        </row>
        <row r="362">
          <cell r="M362">
            <v>63000</v>
          </cell>
        </row>
        <row r="363">
          <cell r="M363">
            <v>3216650</v>
          </cell>
        </row>
        <row r="364">
          <cell r="M364">
            <v>15400</v>
          </cell>
        </row>
        <row r="365">
          <cell r="M365">
            <v>1271600</v>
          </cell>
        </row>
        <row r="367">
          <cell r="M367">
            <v>198200</v>
          </cell>
        </row>
        <row r="375">
          <cell r="M375">
            <v>1000</v>
          </cell>
        </row>
        <row r="376">
          <cell r="M376">
            <v>8944</v>
          </cell>
        </row>
        <row r="380">
          <cell r="M380">
            <v>84383.88</v>
          </cell>
        </row>
        <row r="381">
          <cell r="M381">
            <v>874561.56</v>
          </cell>
        </row>
        <row r="411">
          <cell r="M411">
            <v>138022692.22</v>
          </cell>
        </row>
        <row r="423">
          <cell r="M423">
            <v>124707228.17</v>
          </cell>
        </row>
        <row r="424">
          <cell r="M424">
            <v>1961481.07</v>
          </cell>
        </row>
        <row r="426">
          <cell r="M426">
            <v>222200</v>
          </cell>
        </row>
        <row r="521">
          <cell r="M521">
            <v>9308738301.3900013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new"/>
      <sheetName val="Sheet2"/>
      <sheetName val="Sheet3"/>
    </sheetNames>
    <sheetDataSet>
      <sheetData sheetId="0"/>
      <sheetData sheetId="1">
        <row r="132">
          <cell r="U132" t="str">
            <v xml:space="preserve"> </v>
          </cell>
        </row>
        <row r="381">
          <cell r="U381" t="str">
            <v xml:space="preserve"> 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</sheetNames>
    <sheetDataSet>
      <sheetData sheetId="0">
        <row r="11">
          <cell r="N11">
            <v>4368101962.2300005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"/>
  <sheetViews>
    <sheetView tabSelected="1" topLeftCell="A12" workbookViewId="0">
      <selection activeCell="C25" sqref="C25"/>
    </sheetView>
  </sheetViews>
  <sheetFormatPr defaultColWidth="31.42578125" defaultRowHeight="12.95"/>
  <cols>
    <col min="1" max="1" width="2.140625" style="4" customWidth="1"/>
    <col min="2" max="2" width="2.5703125" style="4" customWidth="1"/>
    <col min="3" max="3" width="48.7109375" style="8" customWidth="1"/>
    <col min="4" max="4" width="16.140625" style="8" bestFit="1" customWidth="1"/>
    <col min="5" max="5" width="16.140625" style="113" bestFit="1" customWidth="1"/>
    <col min="6" max="6" width="17.7109375" style="109" bestFit="1" customWidth="1"/>
    <col min="7" max="7" width="17.7109375" style="8" customWidth="1"/>
    <col min="8" max="8" width="20.5703125" style="112" customWidth="1"/>
    <col min="9" max="256" width="31.42578125" style="4"/>
    <col min="257" max="257" width="2.140625" style="4" customWidth="1"/>
    <col min="258" max="258" width="2.5703125" style="4" customWidth="1"/>
    <col min="259" max="259" width="51" style="4" customWidth="1"/>
    <col min="260" max="260" width="21.28515625" style="4" bestFit="1" customWidth="1"/>
    <col min="261" max="261" width="21.140625" style="4" bestFit="1" customWidth="1"/>
    <col min="262" max="262" width="18.7109375" style="4" customWidth="1"/>
    <col min="263" max="263" width="2" style="4" customWidth="1"/>
    <col min="264" max="264" width="11.28515625" style="4" customWidth="1"/>
    <col min="265" max="512" width="31.42578125" style="4"/>
    <col min="513" max="513" width="2.140625" style="4" customWidth="1"/>
    <col min="514" max="514" width="2.5703125" style="4" customWidth="1"/>
    <col min="515" max="515" width="51" style="4" customWidth="1"/>
    <col min="516" max="516" width="21.28515625" style="4" bestFit="1" customWidth="1"/>
    <col min="517" max="517" width="21.140625" style="4" bestFit="1" customWidth="1"/>
    <col min="518" max="518" width="18.7109375" style="4" customWidth="1"/>
    <col min="519" max="519" width="2" style="4" customWidth="1"/>
    <col min="520" max="520" width="11.28515625" style="4" customWidth="1"/>
    <col min="521" max="768" width="31.42578125" style="4"/>
    <col min="769" max="769" width="2.140625" style="4" customWidth="1"/>
    <col min="770" max="770" width="2.5703125" style="4" customWidth="1"/>
    <col min="771" max="771" width="51" style="4" customWidth="1"/>
    <col min="772" max="772" width="21.28515625" style="4" bestFit="1" customWidth="1"/>
    <col min="773" max="773" width="21.140625" style="4" bestFit="1" customWidth="1"/>
    <col min="774" max="774" width="18.7109375" style="4" customWidth="1"/>
    <col min="775" max="775" width="2" style="4" customWidth="1"/>
    <col min="776" max="776" width="11.28515625" style="4" customWidth="1"/>
    <col min="777" max="1024" width="31.42578125" style="4"/>
    <col min="1025" max="1025" width="2.140625" style="4" customWidth="1"/>
    <col min="1026" max="1026" width="2.5703125" style="4" customWidth="1"/>
    <col min="1027" max="1027" width="51" style="4" customWidth="1"/>
    <col min="1028" max="1028" width="21.28515625" style="4" bestFit="1" customWidth="1"/>
    <col min="1029" max="1029" width="21.140625" style="4" bestFit="1" customWidth="1"/>
    <col min="1030" max="1030" width="18.7109375" style="4" customWidth="1"/>
    <col min="1031" max="1031" width="2" style="4" customWidth="1"/>
    <col min="1032" max="1032" width="11.28515625" style="4" customWidth="1"/>
    <col min="1033" max="1280" width="31.42578125" style="4"/>
    <col min="1281" max="1281" width="2.140625" style="4" customWidth="1"/>
    <col min="1282" max="1282" width="2.5703125" style="4" customWidth="1"/>
    <col min="1283" max="1283" width="51" style="4" customWidth="1"/>
    <col min="1284" max="1284" width="21.28515625" style="4" bestFit="1" customWidth="1"/>
    <col min="1285" max="1285" width="21.140625" style="4" bestFit="1" customWidth="1"/>
    <col min="1286" max="1286" width="18.7109375" style="4" customWidth="1"/>
    <col min="1287" max="1287" width="2" style="4" customWidth="1"/>
    <col min="1288" max="1288" width="11.28515625" style="4" customWidth="1"/>
    <col min="1289" max="1536" width="31.42578125" style="4"/>
    <col min="1537" max="1537" width="2.140625" style="4" customWidth="1"/>
    <col min="1538" max="1538" width="2.5703125" style="4" customWidth="1"/>
    <col min="1539" max="1539" width="51" style="4" customWidth="1"/>
    <col min="1540" max="1540" width="21.28515625" style="4" bestFit="1" customWidth="1"/>
    <col min="1541" max="1541" width="21.140625" style="4" bestFit="1" customWidth="1"/>
    <col min="1542" max="1542" width="18.7109375" style="4" customWidth="1"/>
    <col min="1543" max="1543" width="2" style="4" customWidth="1"/>
    <col min="1544" max="1544" width="11.28515625" style="4" customWidth="1"/>
    <col min="1545" max="1792" width="31.42578125" style="4"/>
    <col min="1793" max="1793" width="2.140625" style="4" customWidth="1"/>
    <col min="1794" max="1794" width="2.5703125" style="4" customWidth="1"/>
    <col min="1795" max="1795" width="51" style="4" customWidth="1"/>
    <col min="1796" max="1796" width="21.28515625" style="4" bestFit="1" customWidth="1"/>
    <col min="1797" max="1797" width="21.140625" style="4" bestFit="1" customWidth="1"/>
    <col min="1798" max="1798" width="18.7109375" style="4" customWidth="1"/>
    <col min="1799" max="1799" width="2" style="4" customWidth="1"/>
    <col min="1800" max="1800" width="11.28515625" style="4" customWidth="1"/>
    <col min="1801" max="2048" width="31.42578125" style="4"/>
    <col min="2049" max="2049" width="2.140625" style="4" customWidth="1"/>
    <col min="2050" max="2050" width="2.5703125" style="4" customWidth="1"/>
    <col min="2051" max="2051" width="51" style="4" customWidth="1"/>
    <col min="2052" max="2052" width="21.28515625" style="4" bestFit="1" customWidth="1"/>
    <col min="2053" max="2053" width="21.140625" style="4" bestFit="1" customWidth="1"/>
    <col min="2054" max="2054" width="18.7109375" style="4" customWidth="1"/>
    <col min="2055" max="2055" width="2" style="4" customWidth="1"/>
    <col min="2056" max="2056" width="11.28515625" style="4" customWidth="1"/>
    <col min="2057" max="2304" width="31.42578125" style="4"/>
    <col min="2305" max="2305" width="2.140625" style="4" customWidth="1"/>
    <col min="2306" max="2306" width="2.5703125" style="4" customWidth="1"/>
    <col min="2307" max="2307" width="51" style="4" customWidth="1"/>
    <col min="2308" max="2308" width="21.28515625" style="4" bestFit="1" customWidth="1"/>
    <col min="2309" max="2309" width="21.140625" style="4" bestFit="1" customWidth="1"/>
    <col min="2310" max="2310" width="18.7109375" style="4" customWidth="1"/>
    <col min="2311" max="2311" width="2" style="4" customWidth="1"/>
    <col min="2312" max="2312" width="11.28515625" style="4" customWidth="1"/>
    <col min="2313" max="2560" width="31.42578125" style="4"/>
    <col min="2561" max="2561" width="2.140625" style="4" customWidth="1"/>
    <col min="2562" max="2562" width="2.5703125" style="4" customWidth="1"/>
    <col min="2563" max="2563" width="51" style="4" customWidth="1"/>
    <col min="2564" max="2564" width="21.28515625" style="4" bestFit="1" customWidth="1"/>
    <col min="2565" max="2565" width="21.140625" style="4" bestFit="1" customWidth="1"/>
    <col min="2566" max="2566" width="18.7109375" style="4" customWidth="1"/>
    <col min="2567" max="2567" width="2" style="4" customWidth="1"/>
    <col min="2568" max="2568" width="11.28515625" style="4" customWidth="1"/>
    <col min="2569" max="2816" width="31.42578125" style="4"/>
    <col min="2817" max="2817" width="2.140625" style="4" customWidth="1"/>
    <col min="2818" max="2818" width="2.5703125" style="4" customWidth="1"/>
    <col min="2819" max="2819" width="51" style="4" customWidth="1"/>
    <col min="2820" max="2820" width="21.28515625" style="4" bestFit="1" customWidth="1"/>
    <col min="2821" max="2821" width="21.140625" style="4" bestFit="1" customWidth="1"/>
    <col min="2822" max="2822" width="18.7109375" style="4" customWidth="1"/>
    <col min="2823" max="2823" width="2" style="4" customWidth="1"/>
    <col min="2824" max="2824" width="11.28515625" style="4" customWidth="1"/>
    <col min="2825" max="3072" width="31.42578125" style="4"/>
    <col min="3073" max="3073" width="2.140625" style="4" customWidth="1"/>
    <col min="3074" max="3074" width="2.5703125" style="4" customWidth="1"/>
    <col min="3075" max="3075" width="51" style="4" customWidth="1"/>
    <col min="3076" max="3076" width="21.28515625" style="4" bestFit="1" customWidth="1"/>
    <col min="3077" max="3077" width="21.140625" style="4" bestFit="1" customWidth="1"/>
    <col min="3078" max="3078" width="18.7109375" style="4" customWidth="1"/>
    <col min="3079" max="3079" width="2" style="4" customWidth="1"/>
    <col min="3080" max="3080" width="11.28515625" style="4" customWidth="1"/>
    <col min="3081" max="3328" width="31.42578125" style="4"/>
    <col min="3329" max="3329" width="2.140625" style="4" customWidth="1"/>
    <col min="3330" max="3330" width="2.5703125" style="4" customWidth="1"/>
    <col min="3331" max="3331" width="51" style="4" customWidth="1"/>
    <col min="3332" max="3332" width="21.28515625" style="4" bestFit="1" customWidth="1"/>
    <col min="3333" max="3333" width="21.140625" style="4" bestFit="1" customWidth="1"/>
    <col min="3334" max="3334" width="18.7109375" style="4" customWidth="1"/>
    <col min="3335" max="3335" width="2" style="4" customWidth="1"/>
    <col min="3336" max="3336" width="11.28515625" style="4" customWidth="1"/>
    <col min="3337" max="3584" width="31.42578125" style="4"/>
    <col min="3585" max="3585" width="2.140625" style="4" customWidth="1"/>
    <col min="3586" max="3586" width="2.5703125" style="4" customWidth="1"/>
    <col min="3587" max="3587" width="51" style="4" customWidth="1"/>
    <col min="3588" max="3588" width="21.28515625" style="4" bestFit="1" customWidth="1"/>
    <col min="3589" max="3589" width="21.140625" style="4" bestFit="1" customWidth="1"/>
    <col min="3590" max="3590" width="18.7109375" style="4" customWidth="1"/>
    <col min="3591" max="3591" width="2" style="4" customWidth="1"/>
    <col min="3592" max="3592" width="11.28515625" style="4" customWidth="1"/>
    <col min="3593" max="3840" width="31.42578125" style="4"/>
    <col min="3841" max="3841" width="2.140625" style="4" customWidth="1"/>
    <col min="3842" max="3842" width="2.5703125" style="4" customWidth="1"/>
    <col min="3843" max="3843" width="51" style="4" customWidth="1"/>
    <col min="3844" max="3844" width="21.28515625" style="4" bestFit="1" customWidth="1"/>
    <col min="3845" max="3845" width="21.140625" style="4" bestFit="1" customWidth="1"/>
    <col min="3846" max="3846" width="18.7109375" style="4" customWidth="1"/>
    <col min="3847" max="3847" width="2" style="4" customWidth="1"/>
    <col min="3848" max="3848" width="11.28515625" style="4" customWidth="1"/>
    <col min="3849" max="4096" width="31.42578125" style="4"/>
    <col min="4097" max="4097" width="2.140625" style="4" customWidth="1"/>
    <col min="4098" max="4098" width="2.5703125" style="4" customWidth="1"/>
    <col min="4099" max="4099" width="51" style="4" customWidth="1"/>
    <col min="4100" max="4100" width="21.28515625" style="4" bestFit="1" customWidth="1"/>
    <col min="4101" max="4101" width="21.140625" style="4" bestFit="1" customWidth="1"/>
    <col min="4102" max="4102" width="18.7109375" style="4" customWidth="1"/>
    <col min="4103" max="4103" width="2" style="4" customWidth="1"/>
    <col min="4104" max="4104" width="11.28515625" style="4" customWidth="1"/>
    <col min="4105" max="4352" width="31.42578125" style="4"/>
    <col min="4353" max="4353" width="2.140625" style="4" customWidth="1"/>
    <col min="4354" max="4354" width="2.5703125" style="4" customWidth="1"/>
    <col min="4355" max="4355" width="51" style="4" customWidth="1"/>
    <col min="4356" max="4356" width="21.28515625" style="4" bestFit="1" customWidth="1"/>
    <col min="4357" max="4357" width="21.140625" style="4" bestFit="1" customWidth="1"/>
    <col min="4358" max="4358" width="18.7109375" style="4" customWidth="1"/>
    <col min="4359" max="4359" width="2" style="4" customWidth="1"/>
    <col min="4360" max="4360" width="11.28515625" style="4" customWidth="1"/>
    <col min="4361" max="4608" width="31.42578125" style="4"/>
    <col min="4609" max="4609" width="2.140625" style="4" customWidth="1"/>
    <col min="4610" max="4610" width="2.5703125" style="4" customWidth="1"/>
    <col min="4611" max="4611" width="51" style="4" customWidth="1"/>
    <col min="4612" max="4612" width="21.28515625" style="4" bestFit="1" customWidth="1"/>
    <col min="4613" max="4613" width="21.140625" style="4" bestFit="1" customWidth="1"/>
    <col min="4614" max="4614" width="18.7109375" style="4" customWidth="1"/>
    <col min="4615" max="4615" width="2" style="4" customWidth="1"/>
    <col min="4616" max="4616" width="11.28515625" style="4" customWidth="1"/>
    <col min="4617" max="4864" width="31.42578125" style="4"/>
    <col min="4865" max="4865" width="2.140625" style="4" customWidth="1"/>
    <col min="4866" max="4866" width="2.5703125" style="4" customWidth="1"/>
    <col min="4867" max="4867" width="51" style="4" customWidth="1"/>
    <col min="4868" max="4868" width="21.28515625" style="4" bestFit="1" customWidth="1"/>
    <col min="4869" max="4869" width="21.140625" style="4" bestFit="1" customWidth="1"/>
    <col min="4870" max="4870" width="18.7109375" style="4" customWidth="1"/>
    <col min="4871" max="4871" width="2" style="4" customWidth="1"/>
    <col min="4872" max="4872" width="11.28515625" style="4" customWidth="1"/>
    <col min="4873" max="5120" width="31.42578125" style="4"/>
    <col min="5121" max="5121" width="2.140625" style="4" customWidth="1"/>
    <col min="5122" max="5122" width="2.5703125" style="4" customWidth="1"/>
    <col min="5123" max="5123" width="51" style="4" customWidth="1"/>
    <col min="5124" max="5124" width="21.28515625" style="4" bestFit="1" customWidth="1"/>
    <col min="5125" max="5125" width="21.140625" style="4" bestFit="1" customWidth="1"/>
    <col min="5126" max="5126" width="18.7109375" style="4" customWidth="1"/>
    <col min="5127" max="5127" width="2" style="4" customWidth="1"/>
    <col min="5128" max="5128" width="11.28515625" style="4" customWidth="1"/>
    <col min="5129" max="5376" width="31.42578125" style="4"/>
    <col min="5377" max="5377" width="2.140625" style="4" customWidth="1"/>
    <col min="5378" max="5378" width="2.5703125" style="4" customWidth="1"/>
    <col min="5379" max="5379" width="51" style="4" customWidth="1"/>
    <col min="5380" max="5380" width="21.28515625" style="4" bestFit="1" customWidth="1"/>
    <col min="5381" max="5381" width="21.140625" style="4" bestFit="1" customWidth="1"/>
    <col min="5382" max="5382" width="18.7109375" style="4" customWidth="1"/>
    <col min="5383" max="5383" width="2" style="4" customWidth="1"/>
    <col min="5384" max="5384" width="11.28515625" style="4" customWidth="1"/>
    <col min="5385" max="5632" width="31.42578125" style="4"/>
    <col min="5633" max="5633" width="2.140625" style="4" customWidth="1"/>
    <col min="5634" max="5634" width="2.5703125" style="4" customWidth="1"/>
    <col min="5635" max="5635" width="51" style="4" customWidth="1"/>
    <col min="5636" max="5636" width="21.28515625" style="4" bestFit="1" customWidth="1"/>
    <col min="5637" max="5637" width="21.140625" style="4" bestFit="1" customWidth="1"/>
    <col min="5638" max="5638" width="18.7109375" style="4" customWidth="1"/>
    <col min="5639" max="5639" width="2" style="4" customWidth="1"/>
    <col min="5640" max="5640" width="11.28515625" style="4" customWidth="1"/>
    <col min="5641" max="5888" width="31.42578125" style="4"/>
    <col min="5889" max="5889" width="2.140625" style="4" customWidth="1"/>
    <col min="5890" max="5890" width="2.5703125" style="4" customWidth="1"/>
    <col min="5891" max="5891" width="51" style="4" customWidth="1"/>
    <col min="5892" max="5892" width="21.28515625" style="4" bestFit="1" customWidth="1"/>
    <col min="5893" max="5893" width="21.140625" style="4" bestFit="1" customWidth="1"/>
    <col min="5894" max="5894" width="18.7109375" style="4" customWidth="1"/>
    <col min="5895" max="5895" width="2" style="4" customWidth="1"/>
    <col min="5896" max="5896" width="11.28515625" style="4" customWidth="1"/>
    <col min="5897" max="6144" width="31.42578125" style="4"/>
    <col min="6145" max="6145" width="2.140625" style="4" customWidth="1"/>
    <col min="6146" max="6146" width="2.5703125" style="4" customWidth="1"/>
    <col min="6147" max="6147" width="51" style="4" customWidth="1"/>
    <col min="6148" max="6148" width="21.28515625" style="4" bestFit="1" customWidth="1"/>
    <col min="6149" max="6149" width="21.140625" style="4" bestFit="1" customWidth="1"/>
    <col min="6150" max="6150" width="18.7109375" style="4" customWidth="1"/>
    <col min="6151" max="6151" width="2" style="4" customWidth="1"/>
    <col min="6152" max="6152" width="11.28515625" style="4" customWidth="1"/>
    <col min="6153" max="6400" width="31.42578125" style="4"/>
    <col min="6401" max="6401" width="2.140625" style="4" customWidth="1"/>
    <col min="6402" max="6402" width="2.5703125" style="4" customWidth="1"/>
    <col min="6403" max="6403" width="51" style="4" customWidth="1"/>
    <col min="6404" max="6404" width="21.28515625" style="4" bestFit="1" customWidth="1"/>
    <col min="6405" max="6405" width="21.140625" style="4" bestFit="1" customWidth="1"/>
    <col min="6406" max="6406" width="18.7109375" style="4" customWidth="1"/>
    <col min="6407" max="6407" width="2" style="4" customWidth="1"/>
    <col min="6408" max="6408" width="11.28515625" style="4" customWidth="1"/>
    <col min="6409" max="6656" width="31.42578125" style="4"/>
    <col min="6657" max="6657" width="2.140625" style="4" customWidth="1"/>
    <col min="6658" max="6658" width="2.5703125" style="4" customWidth="1"/>
    <col min="6659" max="6659" width="51" style="4" customWidth="1"/>
    <col min="6660" max="6660" width="21.28515625" style="4" bestFit="1" customWidth="1"/>
    <col min="6661" max="6661" width="21.140625" style="4" bestFit="1" customWidth="1"/>
    <col min="6662" max="6662" width="18.7109375" style="4" customWidth="1"/>
    <col min="6663" max="6663" width="2" style="4" customWidth="1"/>
    <col min="6664" max="6664" width="11.28515625" style="4" customWidth="1"/>
    <col min="6665" max="6912" width="31.42578125" style="4"/>
    <col min="6913" max="6913" width="2.140625" style="4" customWidth="1"/>
    <col min="6914" max="6914" width="2.5703125" style="4" customWidth="1"/>
    <col min="6915" max="6915" width="51" style="4" customWidth="1"/>
    <col min="6916" max="6916" width="21.28515625" style="4" bestFit="1" customWidth="1"/>
    <col min="6917" max="6917" width="21.140625" style="4" bestFit="1" customWidth="1"/>
    <col min="6918" max="6918" width="18.7109375" style="4" customWidth="1"/>
    <col min="6919" max="6919" width="2" style="4" customWidth="1"/>
    <col min="6920" max="6920" width="11.28515625" style="4" customWidth="1"/>
    <col min="6921" max="7168" width="31.42578125" style="4"/>
    <col min="7169" max="7169" width="2.140625" style="4" customWidth="1"/>
    <col min="7170" max="7170" width="2.5703125" style="4" customWidth="1"/>
    <col min="7171" max="7171" width="51" style="4" customWidth="1"/>
    <col min="7172" max="7172" width="21.28515625" style="4" bestFit="1" customWidth="1"/>
    <col min="7173" max="7173" width="21.140625" style="4" bestFit="1" customWidth="1"/>
    <col min="7174" max="7174" width="18.7109375" style="4" customWidth="1"/>
    <col min="7175" max="7175" width="2" style="4" customWidth="1"/>
    <col min="7176" max="7176" width="11.28515625" style="4" customWidth="1"/>
    <col min="7177" max="7424" width="31.42578125" style="4"/>
    <col min="7425" max="7425" width="2.140625" style="4" customWidth="1"/>
    <col min="7426" max="7426" width="2.5703125" style="4" customWidth="1"/>
    <col min="7427" max="7427" width="51" style="4" customWidth="1"/>
    <col min="7428" max="7428" width="21.28515625" style="4" bestFit="1" customWidth="1"/>
    <col min="7429" max="7429" width="21.140625" style="4" bestFit="1" customWidth="1"/>
    <col min="7430" max="7430" width="18.7109375" style="4" customWidth="1"/>
    <col min="7431" max="7431" width="2" style="4" customWidth="1"/>
    <col min="7432" max="7432" width="11.28515625" style="4" customWidth="1"/>
    <col min="7433" max="7680" width="31.42578125" style="4"/>
    <col min="7681" max="7681" width="2.140625" style="4" customWidth="1"/>
    <col min="7682" max="7682" width="2.5703125" style="4" customWidth="1"/>
    <col min="7683" max="7683" width="51" style="4" customWidth="1"/>
    <col min="7684" max="7684" width="21.28515625" style="4" bestFit="1" customWidth="1"/>
    <col min="7685" max="7685" width="21.140625" style="4" bestFit="1" customWidth="1"/>
    <col min="7686" max="7686" width="18.7109375" style="4" customWidth="1"/>
    <col min="7687" max="7687" width="2" style="4" customWidth="1"/>
    <col min="7688" max="7688" width="11.28515625" style="4" customWidth="1"/>
    <col min="7689" max="7936" width="31.42578125" style="4"/>
    <col min="7937" max="7937" width="2.140625" style="4" customWidth="1"/>
    <col min="7938" max="7938" width="2.5703125" style="4" customWidth="1"/>
    <col min="7939" max="7939" width="51" style="4" customWidth="1"/>
    <col min="7940" max="7940" width="21.28515625" style="4" bestFit="1" customWidth="1"/>
    <col min="7941" max="7941" width="21.140625" style="4" bestFit="1" customWidth="1"/>
    <col min="7942" max="7942" width="18.7109375" style="4" customWidth="1"/>
    <col min="7943" max="7943" width="2" style="4" customWidth="1"/>
    <col min="7944" max="7944" width="11.28515625" style="4" customWidth="1"/>
    <col min="7945" max="8192" width="31.42578125" style="4"/>
    <col min="8193" max="8193" width="2.140625" style="4" customWidth="1"/>
    <col min="8194" max="8194" width="2.5703125" style="4" customWidth="1"/>
    <col min="8195" max="8195" width="51" style="4" customWidth="1"/>
    <col min="8196" max="8196" width="21.28515625" style="4" bestFit="1" customWidth="1"/>
    <col min="8197" max="8197" width="21.140625" style="4" bestFit="1" customWidth="1"/>
    <col min="8198" max="8198" width="18.7109375" style="4" customWidth="1"/>
    <col min="8199" max="8199" width="2" style="4" customWidth="1"/>
    <col min="8200" max="8200" width="11.28515625" style="4" customWidth="1"/>
    <col min="8201" max="8448" width="31.42578125" style="4"/>
    <col min="8449" max="8449" width="2.140625" style="4" customWidth="1"/>
    <col min="8450" max="8450" width="2.5703125" style="4" customWidth="1"/>
    <col min="8451" max="8451" width="51" style="4" customWidth="1"/>
    <col min="8452" max="8452" width="21.28515625" style="4" bestFit="1" customWidth="1"/>
    <col min="8453" max="8453" width="21.140625" style="4" bestFit="1" customWidth="1"/>
    <col min="8454" max="8454" width="18.7109375" style="4" customWidth="1"/>
    <col min="8455" max="8455" width="2" style="4" customWidth="1"/>
    <col min="8456" max="8456" width="11.28515625" style="4" customWidth="1"/>
    <col min="8457" max="8704" width="31.42578125" style="4"/>
    <col min="8705" max="8705" width="2.140625" style="4" customWidth="1"/>
    <col min="8706" max="8706" width="2.5703125" style="4" customWidth="1"/>
    <col min="8707" max="8707" width="51" style="4" customWidth="1"/>
    <col min="8708" max="8708" width="21.28515625" style="4" bestFit="1" customWidth="1"/>
    <col min="8709" max="8709" width="21.140625" style="4" bestFit="1" customWidth="1"/>
    <col min="8710" max="8710" width="18.7109375" style="4" customWidth="1"/>
    <col min="8711" max="8711" width="2" style="4" customWidth="1"/>
    <col min="8712" max="8712" width="11.28515625" style="4" customWidth="1"/>
    <col min="8713" max="8960" width="31.42578125" style="4"/>
    <col min="8961" max="8961" width="2.140625" style="4" customWidth="1"/>
    <col min="8962" max="8962" width="2.5703125" style="4" customWidth="1"/>
    <col min="8963" max="8963" width="51" style="4" customWidth="1"/>
    <col min="8964" max="8964" width="21.28515625" style="4" bestFit="1" customWidth="1"/>
    <col min="8965" max="8965" width="21.140625" style="4" bestFit="1" customWidth="1"/>
    <col min="8966" max="8966" width="18.7109375" style="4" customWidth="1"/>
    <col min="8967" max="8967" width="2" style="4" customWidth="1"/>
    <col min="8968" max="8968" width="11.28515625" style="4" customWidth="1"/>
    <col min="8969" max="9216" width="31.42578125" style="4"/>
    <col min="9217" max="9217" width="2.140625" style="4" customWidth="1"/>
    <col min="9218" max="9218" width="2.5703125" style="4" customWidth="1"/>
    <col min="9219" max="9219" width="51" style="4" customWidth="1"/>
    <col min="9220" max="9220" width="21.28515625" style="4" bestFit="1" customWidth="1"/>
    <col min="9221" max="9221" width="21.140625" style="4" bestFit="1" customWidth="1"/>
    <col min="9222" max="9222" width="18.7109375" style="4" customWidth="1"/>
    <col min="9223" max="9223" width="2" style="4" customWidth="1"/>
    <col min="9224" max="9224" width="11.28515625" style="4" customWidth="1"/>
    <col min="9225" max="9472" width="31.42578125" style="4"/>
    <col min="9473" max="9473" width="2.140625" style="4" customWidth="1"/>
    <col min="9474" max="9474" width="2.5703125" style="4" customWidth="1"/>
    <col min="9475" max="9475" width="51" style="4" customWidth="1"/>
    <col min="9476" max="9476" width="21.28515625" style="4" bestFit="1" customWidth="1"/>
    <col min="9477" max="9477" width="21.140625" style="4" bestFit="1" customWidth="1"/>
    <col min="9478" max="9478" width="18.7109375" style="4" customWidth="1"/>
    <col min="9479" max="9479" width="2" style="4" customWidth="1"/>
    <col min="9480" max="9480" width="11.28515625" style="4" customWidth="1"/>
    <col min="9481" max="9728" width="31.42578125" style="4"/>
    <col min="9729" max="9729" width="2.140625" style="4" customWidth="1"/>
    <col min="9730" max="9730" width="2.5703125" style="4" customWidth="1"/>
    <col min="9731" max="9731" width="51" style="4" customWidth="1"/>
    <col min="9732" max="9732" width="21.28515625" style="4" bestFit="1" customWidth="1"/>
    <col min="9733" max="9733" width="21.140625" style="4" bestFit="1" customWidth="1"/>
    <col min="9734" max="9734" width="18.7109375" style="4" customWidth="1"/>
    <col min="9735" max="9735" width="2" style="4" customWidth="1"/>
    <col min="9736" max="9736" width="11.28515625" style="4" customWidth="1"/>
    <col min="9737" max="9984" width="31.42578125" style="4"/>
    <col min="9985" max="9985" width="2.140625" style="4" customWidth="1"/>
    <col min="9986" max="9986" width="2.5703125" style="4" customWidth="1"/>
    <col min="9987" max="9987" width="51" style="4" customWidth="1"/>
    <col min="9988" max="9988" width="21.28515625" style="4" bestFit="1" customWidth="1"/>
    <col min="9989" max="9989" width="21.140625" style="4" bestFit="1" customWidth="1"/>
    <col min="9990" max="9990" width="18.7109375" style="4" customWidth="1"/>
    <col min="9991" max="9991" width="2" style="4" customWidth="1"/>
    <col min="9992" max="9992" width="11.28515625" style="4" customWidth="1"/>
    <col min="9993" max="10240" width="31.42578125" style="4"/>
    <col min="10241" max="10241" width="2.140625" style="4" customWidth="1"/>
    <col min="10242" max="10242" width="2.5703125" style="4" customWidth="1"/>
    <col min="10243" max="10243" width="51" style="4" customWidth="1"/>
    <col min="10244" max="10244" width="21.28515625" style="4" bestFit="1" customWidth="1"/>
    <col min="10245" max="10245" width="21.140625" style="4" bestFit="1" customWidth="1"/>
    <col min="10246" max="10246" width="18.7109375" style="4" customWidth="1"/>
    <col min="10247" max="10247" width="2" style="4" customWidth="1"/>
    <col min="10248" max="10248" width="11.28515625" style="4" customWidth="1"/>
    <col min="10249" max="10496" width="31.42578125" style="4"/>
    <col min="10497" max="10497" width="2.140625" style="4" customWidth="1"/>
    <col min="10498" max="10498" width="2.5703125" style="4" customWidth="1"/>
    <col min="10499" max="10499" width="51" style="4" customWidth="1"/>
    <col min="10500" max="10500" width="21.28515625" style="4" bestFit="1" customWidth="1"/>
    <col min="10501" max="10501" width="21.140625" style="4" bestFit="1" customWidth="1"/>
    <col min="10502" max="10502" width="18.7109375" style="4" customWidth="1"/>
    <col min="10503" max="10503" width="2" style="4" customWidth="1"/>
    <col min="10504" max="10504" width="11.28515625" style="4" customWidth="1"/>
    <col min="10505" max="10752" width="31.42578125" style="4"/>
    <col min="10753" max="10753" width="2.140625" style="4" customWidth="1"/>
    <col min="10754" max="10754" width="2.5703125" style="4" customWidth="1"/>
    <col min="10755" max="10755" width="51" style="4" customWidth="1"/>
    <col min="10756" max="10756" width="21.28515625" style="4" bestFit="1" customWidth="1"/>
    <col min="10757" max="10757" width="21.140625" style="4" bestFit="1" customWidth="1"/>
    <col min="10758" max="10758" width="18.7109375" style="4" customWidth="1"/>
    <col min="10759" max="10759" width="2" style="4" customWidth="1"/>
    <col min="10760" max="10760" width="11.28515625" style="4" customWidth="1"/>
    <col min="10761" max="11008" width="31.42578125" style="4"/>
    <col min="11009" max="11009" width="2.140625" style="4" customWidth="1"/>
    <col min="11010" max="11010" width="2.5703125" style="4" customWidth="1"/>
    <col min="11011" max="11011" width="51" style="4" customWidth="1"/>
    <col min="11012" max="11012" width="21.28515625" style="4" bestFit="1" customWidth="1"/>
    <col min="11013" max="11013" width="21.140625" style="4" bestFit="1" customWidth="1"/>
    <col min="11014" max="11014" width="18.7109375" style="4" customWidth="1"/>
    <col min="11015" max="11015" width="2" style="4" customWidth="1"/>
    <col min="11016" max="11016" width="11.28515625" style="4" customWidth="1"/>
    <col min="11017" max="11264" width="31.42578125" style="4"/>
    <col min="11265" max="11265" width="2.140625" style="4" customWidth="1"/>
    <col min="11266" max="11266" width="2.5703125" style="4" customWidth="1"/>
    <col min="11267" max="11267" width="51" style="4" customWidth="1"/>
    <col min="11268" max="11268" width="21.28515625" style="4" bestFit="1" customWidth="1"/>
    <col min="11269" max="11269" width="21.140625" style="4" bestFit="1" customWidth="1"/>
    <col min="11270" max="11270" width="18.7109375" style="4" customWidth="1"/>
    <col min="11271" max="11271" width="2" style="4" customWidth="1"/>
    <col min="11272" max="11272" width="11.28515625" style="4" customWidth="1"/>
    <col min="11273" max="11520" width="31.42578125" style="4"/>
    <col min="11521" max="11521" width="2.140625" style="4" customWidth="1"/>
    <col min="11522" max="11522" width="2.5703125" style="4" customWidth="1"/>
    <col min="11523" max="11523" width="51" style="4" customWidth="1"/>
    <col min="11524" max="11524" width="21.28515625" style="4" bestFit="1" customWidth="1"/>
    <col min="11525" max="11525" width="21.140625" style="4" bestFit="1" customWidth="1"/>
    <col min="11526" max="11526" width="18.7109375" style="4" customWidth="1"/>
    <col min="11527" max="11527" width="2" style="4" customWidth="1"/>
    <col min="11528" max="11528" width="11.28515625" style="4" customWidth="1"/>
    <col min="11529" max="11776" width="31.42578125" style="4"/>
    <col min="11777" max="11777" width="2.140625" style="4" customWidth="1"/>
    <col min="11778" max="11778" width="2.5703125" style="4" customWidth="1"/>
    <col min="11779" max="11779" width="51" style="4" customWidth="1"/>
    <col min="11780" max="11780" width="21.28515625" style="4" bestFit="1" customWidth="1"/>
    <col min="11781" max="11781" width="21.140625" style="4" bestFit="1" customWidth="1"/>
    <col min="11782" max="11782" width="18.7109375" style="4" customWidth="1"/>
    <col min="11783" max="11783" width="2" style="4" customWidth="1"/>
    <col min="11784" max="11784" width="11.28515625" style="4" customWidth="1"/>
    <col min="11785" max="12032" width="31.42578125" style="4"/>
    <col min="12033" max="12033" width="2.140625" style="4" customWidth="1"/>
    <col min="12034" max="12034" width="2.5703125" style="4" customWidth="1"/>
    <col min="12035" max="12035" width="51" style="4" customWidth="1"/>
    <col min="12036" max="12036" width="21.28515625" style="4" bestFit="1" customWidth="1"/>
    <col min="12037" max="12037" width="21.140625" style="4" bestFit="1" customWidth="1"/>
    <col min="12038" max="12038" width="18.7109375" style="4" customWidth="1"/>
    <col min="12039" max="12039" width="2" style="4" customWidth="1"/>
    <col min="12040" max="12040" width="11.28515625" style="4" customWidth="1"/>
    <col min="12041" max="12288" width="31.42578125" style="4"/>
    <col min="12289" max="12289" width="2.140625" style="4" customWidth="1"/>
    <col min="12290" max="12290" width="2.5703125" style="4" customWidth="1"/>
    <col min="12291" max="12291" width="51" style="4" customWidth="1"/>
    <col min="12292" max="12292" width="21.28515625" style="4" bestFit="1" customWidth="1"/>
    <col min="12293" max="12293" width="21.140625" style="4" bestFit="1" customWidth="1"/>
    <col min="12294" max="12294" width="18.7109375" style="4" customWidth="1"/>
    <col min="12295" max="12295" width="2" style="4" customWidth="1"/>
    <col min="12296" max="12296" width="11.28515625" style="4" customWidth="1"/>
    <col min="12297" max="12544" width="31.42578125" style="4"/>
    <col min="12545" max="12545" width="2.140625" style="4" customWidth="1"/>
    <col min="12546" max="12546" width="2.5703125" style="4" customWidth="1"/>
    <col min="12547" max="12547" width="51" style="4" customWidth="1"/>
    <col min="12548" max="12548" width="21.28515625" style="4" bestFit="1" customWidth="1"/>
    <col min="12549" max="12549" width="21.140625" style="4" bestFit="1" customWidth="1"/>
    <col min="12550" max="12550" width="18.7109375" style="4" customWidth="1"/>
    <col min="12551" max="12551" width="2" style="4" customWidth="1"/>
    <col min="12552" max="12552" width="11.28515625" style="4" customWidth="1"/>
    <col min="12553" max="12800" width="31.42578125" style="4"/>
    <col min="12801" max="12801" width="2.140625" style="4" customWidth="1"/>
    <col min="12802" max="12802" width="2.5703125" style="4" customWidth="1"/>
    <col min="12803" max="12803" width="51" style="4" customWidth="1"/>
    <col min="12804" max="12804" width="21.28515625" style="4" bestFit="1" customWidth="1"/>
    <col min="12805" max="12805" width="21.140625" style="4" bestFit="1" customWidth="1"/>
    <col min="12806" max="12806" width="18.7109375" style="4" customWidth="1"/>
    <col min="12807" max="12807" width="2" style="4" customWidth="1"/>
    <col min="12808" max="12808" width="11.28515625" style="4" customWidth="1"/>
    <col min="12809" max="13056" width="31.42578125" style="4"/>
    <col min="13057" max="13057" width="2.140625" style="4" customWidth="1"/>
    <col min="13058" max="13058" width="2.5703125" style="4" customWidth="1"/>
    <col min="13059" max="13059" width="51" style="4" customWidth="1"/>
    <col min="13060" max="13060" width="21.28515625" style="4" bestFit="1" customWidth="1"/>
    <col min="13061" max="13061" width="21.140625" style="4" bestFit="1" customWidth="1"/>
    <col min="13062" max="13062" width="18.7109375" style="4" customWidth="1"/>
    <col min="13063" max="13063" width="2" style="4" customWidth="1"/>
    <col min="13064" max="13064" width="11.28515625" style="4" customWidth="1"/>
    <col min="13065" max="13312" width="31.42578125" style="4"/>
    <col min="13313" max="13313" width="2.140625" style="4" customWidth="1"/>
    <col min="13314" max="13314" width="2.5703125" style="4" customWidth="1"/>
    <col min="13315" max="13315" width="51" style="4" customWidth="1"/>
    <col min="13316" max="13316" width="21.28515625" style="4" bestFit="1" customWidth="1"/>
    <col min="13317" max="13317" width="21.140625" style="4" bestFit="1" customWidth="1"/>
    <col min="13318" max="13318" width="18.7109375" style="4" customWidth="1"/>
    <col min="13319" max="13319" width="2" style="4" customWidth="1"/>
    <col min="13320" max="13320" width="11.28515625" style="4" customWidth="1"/>
    <col min="13321" max="13568" width="31.42578125" style="4"/>
    <col min="13569" max="13569" width="2.140625" style="4" customWidth="1"/>
    <col min="13570" max="13570" width="2.5703125" style="4" customWidth="1"/>
    <col min="13571" max="13571" width="51" style="4" customWidth="1"/>
    <col min="13572" max="13572" width="21.28515625" style="4" bestFit="1" customWidth="1"/>
    <col min="13573" max="13573" width="21.140625" style="4" bestFit="1" customWidth="1"/>
    <col min="13574" max="13574" width="18.7109375" style="4" customWidth="1"/>
    <col min="13575" max="13575" width="2" style="4" customWidth="1"/>
    <col min="13576" max="13576" width="11.28515625" style="4" customWidth="1"/>
    <col min="13577" max="13824" width="31.42578125" style="4"/>
    <col min="13825" max="13825" width="2.140625" style="4" customWidth="1"/>
    <col min="13826" max="13826" width="2.5703125" style="4" customWidth="1"/>
    <col min="13827" max="13827" width="51" style="4" customWidth="1"/>
    <col min="13828" max="13828" width="21.28515625" style="4" bestFit="1" customWidth="1"/>
    <col min="13829" max="13829" width="21.140625" style="4" bestFit="1" customWidth="1"/>
    <col min="13830" max="13830" width="18.7109375" style="4" customWidth="1"/>
    <col min="13831" max="13831" width="2" style="4" customWidth="1"/>
    <col min="13832" max="13832" width="11.28515625" style="4" customWidth="1"/>
    <col min="13833" max="14080" width="31.42578125" style="4"/>
    <col min="14081" max="14081" width="2.140625" style="4" customWidth="1"/>
    <col min="14082" max="14082" width="2.5703125" style="4" customWidth="1"/>
    <col min="14083" max="14083" width="51" style="4" customWidth="1"/>
    <col min="14084" max="14084" width="21.28515625" style="4" bestFit="1" customWidth="1"/>
    <col min="14085" max="14085" width="21.140625" style="4" bestFit="1" customWidth="1"/>
    <col min="14086" max="14086" width="18.7109375" style="4" customWidth="1"/>
    <col min="14087" max="14087" width="2" style="4" customWidth="1"/>
    <col min="14088" max="14088" width="11.28515625" style="4" customWidth="1"/>
    <col min="14089" max="14336" width="31.42578125" style="4"/>
    <col min="14337" max="14337" width="2.140625" style="4" customWidth="1"/>
    <col min="14338" max="14338" width="2.5703125" style="4" customWidth="1"/>
    <col min="14339" max="14339" width="51" style="4" customWidth="1"/>
    <col min="14340" max="14340" width="21.28515625" style="4" bestFit="1" customWidth="1"/>
    <col min="14341" max="14341" width="21.140625" style="4" bestFit="1" customWidth="1"/>
    <col min="14342" max="14342" width="18.7109375" style="4" customWidth="1"/>
    <col min="14343" max="14343" width="2" style="4" customWidth="1"/>
    <col min="14344" max="14344" width="11.28515625" style="4" customWidth="1"/>
    <col min="14345" max="14592" width="31.42578125" style="4"/>
    <col min="14593" max="14593" width="2.140625" style="4" customWidth="1"/>
    <col min="14594" max="14594" width="2.5703125" style="4" customWidth="1"/>
    <col min="14595" max="14595" width="51" style="4" customWidth="1"/>
    <col min="14596" max="14596" width="21.28515625" style="4" bestFit="1" customWidth="1"/>
    <col min="14597" max="14597" width="21.140625" style="4" bestFit="1" customWidth="1"/>
    <col min="14598" max="14598" width="18.7109375" style="4" customWidth="1"/>
    <col min="14599" max="14599" width="2" style="4" customWidth="1"/>
    <col min="14600" max="14600" width="11.28515625" style="4" customWidth="1"/>
    <col min="14601" max="14848" width="31.42578125" style="4"/>
    <col min="14849" max="14849" width="2.140625" style="4" customWidth="1"/>
    <col min="14850" max="14850" width="2.5703125" style="4" customWidth="1"/>
    <col min="14851" max="14851" width="51" style="4" customWidth="1"/>
    <col min="14852" max="14852" width="21.28515625" style="4" bestFit="1" customWidth="1"/>
    <col min="14853" max="14853" width="21.140625" style="4" bestFit="1" customWidth="1"/>
    <col min="14854" max="14854" width="18.7109375" style="4" customWidth="1"/>
    <col min="14855" max="14855" width="2" style="4" customWidth="1"/>
    <col min="14856" max="14856" width="11.28515625" style="4" customWidth="1"/>
    <col min="14857" max="15104" width="31.42578125" style="4"/>
    <col min="15105" max="15105" width="2.140625" style="4" customWidth="1"/>
    <col min="15106" max="15106" width="2.5703125" style="4" customWidth="1"/>
    <col min="15107" max="15107" width="51" style="4" customWidth="1"/>
    <col min="15108" max="15108" width="21.28515625" style="4" bestFit="1" customWidth="1"/>
    <col min="15109" max="15109" width="21.140625" style="4" bestFit="1" customWidth="1"/>
    <col min="15110" max="15110" width="18.7109375" style="4" customWidth="1"/>
    <col min="15111" max="15111" width="2" style="4" customWidth="1"/>
    <col min="15112" max="15112" width="11.28515625" style="4" customWidth="1"/>
    <col min="15113" max="15360" width="31.42578125" style="4"/>
    <col min="15361" max="15361" width="2.140625" style="4" customWidth="1"/>
    <col min="15362" max="15362" width="2.5703125" style="4" customWidth="1"/>
    <col min="15363" max="15363" width="51" style="4" customWidth="1"/>
    <col min="15364" max="15364" width="21.28515625" style="4" bestFit="1" customWidth="1"/>
    <col min="15365" max="15365" width="21.140625" style="4" bestFit="1" customWidth="1"/>
    <col min="15366" max="15366" width="18.7109375" style="4" customWidth="1"/>
    <col min="15367" max="15367" width="2" style="4" customWidth="1"/>
    <col min="15368" max="15368" width="11.28515625" style="4" customWidth="1"/>
    <col min="15369" max="15616" width="31.42578125" style="4"/>
    <col min="15617" max="15617" width="2.140625" style="4" customWidth="1"/>
    <col min="15618" max="15618" width="2.5703125" style="4" customWidth="1"/>
    <col min="15619" max="15619" width="51" style="4" customWidth="1"/>
    <col min="15620" max="15620" width="21.28515625" style="4" bestFit="1" customWidth="1"/>
    <col min="15621" max="15621" width="21.140625" style="4" bestFit="1" customWidth="1"/>
    <col min="15622" max="15622" width="18.7109375" style="4" customWidth="1"/>
    <col min="15623" max="15623" width="2" style="4" customWidth="1"/>
    <col min="15624" max="15624" width="11.28515625" style="4" customWidth="1"/>
    <col min="15625" max="15872" width="31.42578125" style="4"/>
    <col min="15873" max="15873" width="2.140625" style="4" customWidth="1"/>
    <col min="15874" max="15874" width="2.5703125" style="4" customWidth="1"/>
    <col min="15875" max="15875" width="51" style="4" customWidth="1"/>
    <col min="15876" max="15876" width="21.28515625" style="4" bestFit="1" customWidth="1"/>
    <col min="15877" max="15877" width="21.140625" style="4" bestFit="1" customWidth="1"/>
    <col min="15878" max="15878" width="18.7109375" style="4" customWidth="1"/>
    <col min="15879" max="15879" width="2" style="4" customWidth="1"/>
    <col min="15880" max="15880" width="11.28515625" style="4" customWidth="1"/>
    <col min="15881" max="16128" width="31.42578125" style="4"/>
    <col min="16129" max="16129" width="2.140625" style="4" customWidth="1"/>
    <col min="16130" max="16130" width="2.5703125" style="4" customWidth="1"/>
    <col min="16131" max="16131" width="51" style="4" customWidth="1"/>
    <col min="16132" max="16132" width="21.28515625" style="4" bestFit="1" customWidth="1"/>
    <col min="16133" max="16133" width="21.140625" style="4" bestFit="1" customWidth="1"/>
    <col min="16134" max="16134" width="18.7109375" style="4" customWidth="1"/>
    <col min="16135" max="16135" width="2" style="4" customWidth="1"/>
    <col min="16136" max="16136" width="11.28515625" style="4" customWidth="1"/>
    <col min="16137" max="16384" width="31.42578125" style="4"/>
  </cols>
  <sheetData>
    <row r="1" spans="1:8" ht="13.5" thickBot="1">
      <c r="A1" s="736" t="s">
        <v>0</v>
      </c>
      <c r="B1" s="737"/>
      <c r="C1" s="737"/>
      <c r="D1" s="737"/>
      <c r="E1" s="737"/>
      <c r="F1" s="737"/>
      <c r="G1" s="738"/>
      <c r="H1" s="3"/>
    </row>
    <row r="2" spans="1:8" ht="13.5" thickTop="1">
      <c r="A2" s="739" t="s">
        <v>1</v>
      </c>
      <c r="B2" s="740"/>
      <c r="C2" s="740"/>
      <c r="D2" s="740"/>
      <c r="E2" s="740"/>
      <c r="F2" s="740"/>
      <c r="G2" s="741"/>
      <c r="H2" s="3"/>
    </row>
    <row r="3" spans="1:8">
      <c r="A3" s="742" t="s">
        <v>2</v>
      </c>
      <c r="B3" s="743"/>
      <c r="C3" s="743"/>
      <c r="D3" s="743"/>
      <c r="E3" s="743"/>
      <c r="F3" s="743"/>
      <c r="G3" s="744"/>
      <c r="H3" s="3"/>
    </row>
    <row r="4" spans="1:8">
      <c r="A4" s="745" t="s">
        <v>3</v>
      </c>
      <c r="B4" s="746"/>
      <c r="C4" s="746"/>
      <c r="D4" s="746"/>
      <c r="E4" s="746"/>
      <c r="F4" s="746"/>
      <c r="G4" s="747"/>
      <c r="H4" s="3"/>
    </row>
    <row r="5" spans="1:8">
      <c r="A5" s="5"/>
      <c r="B5" s="6"/>
      <c r="C5" s="7"/>
      <c r="D5" s="141"/>
      <c r="E5" s="145"/>
      <c r="F5" s="110"/>
      <c r="G5" s="143"/>
      <c r="H5" s="115"/>
    </row>
    <row r="6" spans="1:8">
      <c r="A6" s="9"/>
      <c r="C6" s="10"/>
      <c r="D6" s="143"/>
      <c r="E6" s="630" t="s">
        <v>4</v>
      </c>
      <c r="F6" s="137" t="s">
        <v>5</v>
      </c>
      <c r="G6" s="144"/>
      <c r="H6" s="115"/>
    </row>
    <row r="7" spans="1:8">
      <c r="A7" s="748" t="s">
        <v>6</v>
      </c>
      <c r="B7" s="749"/>
      <c r="C7" s="750"/>
      <c r="D7" s="144" t="s">
        <v>7</v>
      </c>
      <c r="E7" s="146" t="s">
        <v>8</v>
      </c>
      <c r="F7" s="137" t="s">
        <v>9</v>
      </c>
      <c r="G7" s="146" t="s">
        <v>8</v>
      </c>
      <c r="H7" s="115"/>
    </row>
    <row r="8" spans="1:8">
      <c r="A8" s="9"/>
      <c r="C8" s="10"/>
      <c r="D8" s="154" t="s">
        <v>10</v>
      </c>
      <c r="E8" s="147" t="s">
        <v>11</v>
      </c>
      <c r="F8" s="138" t="s">
        <v>12</v>
      </c>
      <c r="G8" s="147" t="s">
        <v>13</v>
      </c>
      <c r="H8" s="115"/>
    </row>
    <row r="9" spans="1:8">
      <c r="A9" s="9"/>
      <c r="C9" s="10"/>
      <c r="D9" s="143"/>
      <c r="E9" s="147"/>
      <c r="F9" s="138" t="s">
        <v>14</v>
      </c>
      <c r="G9" s="147"/>
      <c r="H9" s="115"/>
    </row>
    <row r="10" spans="1:8">
      <c r="A10" s="11"/>
      <c r="B10" s="12"/>
      <c r="C10" s="13"/>
      <c r="D10" s="148" t="s">
        <v>15</v>
      </c>
      <c r="E10" s="149" t="s">
        <v>15</v>
      </c>
      <c r="F10" s="149" t="s">
        <v>15</v>
      </c>
      <c r="G10" s="149" t="s">
        <v>15</v>
      </c>
      <c r="H10" s="115"/>
    </row>
    <row r="11" spans="1:8">
      <c r="A11" s="5"/>
      <c r="B11" s="6"/>
      <c r="C11" s="14"/>
      <c r="D11" s="141"/>
      <c r="E11" s="139"/>
      <c r="F11" s="110"/>
      <c r="G11" s="141"/>
      <c r="H11" s="115"/>
    </row>
    <row r="12" spans="1:8">
      <c r="A12" s="9"/>
      <c r="B12" s="4" t="s">
        <v>16</v>
      </c>
      <c r="C12" s="176" t="s">
        <v>17</v>
      </c>
      <c r="D12" s="142"/>
      <c r="E12" s="115"/>
      <c r="F12" s="120" t="s">
        <v>18</v>
      </c>
      <c r="G12" s="143"/>
      <c r="H12" s="115"/>
    </row>
    <row r="13" spans="1:8">
      <c r="A13" s="9"/>
      <c r="C13" s="115"/>
      <c r="D13" s="143"/>
      <c r="E13" s="115"/>
      <c r="G13" s="143"/>
      <c r="H13" s="115"/>
    </row>
    <row r="14" spans="1:8">
      <c r="A14" s="9"/>
      <c r="C14" s="176" t="s">
        <v>19</v>
      </c>
      <c r="D14" s="142"/>
      <c r="E14" s="140"/>
      <c r="F14" s="136"/>
      <c r="G14" s="143"/>
      <c r="H14" s="115"/>
    </row>
    <row r="15" spans="1:8">
      <c r="A15" s="9"/>
      <c r="C15" s="177" t="s">
        <v>20</v>
      </c>
      <c r="D15" s="155">
        <v>52169363366.626007</v>
      </c>
      <c r="E15" s="156">
        <v>59246035025</v>
      </c>
      <c r="F15" s="157">
        <v>45778117702.940002</v>
      </c>
      <c r="G15" s="155">
        <v>63514530000</v>
      </c>
      <c r="H15" s="115"/>
    </row>
    <row r="16" spans="1:8">
      <c r="A16" s="9"/>
      <c r="C16" s="177" t="s">
        <v>21</v>
      </c>
      <c r="D16" s="155">
        <v>189252039301.42001</v>
      </c>
      <c r="E16" s="156">
        <v>189590797067</v>
      </c>
      <c r="F16" s="157">
        <v>130602792406.00999</v>
      </c>
      <c r="G16" s="155">
        <v>251829621668.81</v>
      </c>
      <c r="H16" s="115"/>
    </row>
    <row r="17" spans="1:8">
      <c r="A17" s="9"/>
      <c r="C17" s="177" t="s">
        <v>22</v>
      </c>
      <c r="D17" s="155">
        <v>9407197048.0400009</v>
      </c>
      <c r="E17" s="156">
        <v>10081715475</v>
      </c>
      <c r="F17" s="157">
        <v>8750050677.8699989</v>
      </c>
      <c r="G17" s="155">
        <v>13074113729.01</v>
      </c>
      <c r="H17" s="115"/>
    </row>
    <row r="18" spans="1:8">
      <c r="A18" s="9"/>
      <c r="C18" s="177" t="s">
        <v>23</v>
      </c>
      <c r="D18" s="155">
        <v>5306224456.0200005</v>
      </c>
      <c r="E18" s="156">
        <v>5132047500</v>
      </c>
      <c r="F18" s="157">
        <v>4333301617</v>
      </c>
      <c r="G18" s="155">
        <v>5891877907.7299995</v>
      </c>
      <c r="H18" s="115"/>
    </row>
    <row r="19" spans="1:8">
      <c r="A19" s="9"/>
      <c r="C19" s="177" t="s">
        <v>24</v>
      </c>
      <c r="D19" s="155">
        <v>615798509.0503577</v>
      </c>
      <c r="E19" s="156">
        <v>1546541195.99</v>
      </c>
      <c r="F19" s="157">
        <v>403762750.5</v>
      </c>
      <c r="G19" s="155">
        <v>224233106.19</v>
      </c>
      <c r="H19" s="115"/>
    </row>
    <row r="20" spans="1:8">
      <c r="A20" s="9"/>
      <c r="C20" s="177" t="s">
        <v>25</v>
      </c>
      <c r="D20" s="155">
        <v>16763929502.219999</v>
      </c>
      <c r="E20" s="156">
        <v>15799100000</v>
      </c>
      <c r="F20" s="157">
        <v>18390827343.290001</v>
      </c>
      <c r="G20" s="155">
        <v>28674790000</v>
      </c>
      <c r="H20" s="115"/>
    </row>
    <row r="21" spans="1:8">
      <c r="A21" s="9"/>
      <c r="C21" s="177" t="s">
        <v>26</v>
      </c>
      <c r="D21" s="155">
        <v>5864166159.9200001</v>
      </c>
      <c r="E21" s="156">
        <v>8023787100</v>
      </c>
      <c r="F21" s="157">
        <v>6284441130</v>
      </c>
      <c r="G21" s="155">
        <v>10706209990.93</v>
      </c>
      <c r="H21" s="115"/>
    </row>
    <row r="22" spans="1:8">
      <c r="A22" s="9"/>
      <c r="C22" s="177" t="s">
        <v>27</v>
      </c>
      <c r="D22" s="155">
        <v>34122884392.330002</v>
      </c>
      <c r="E22" s="156">
        <v>36700287000</v>
      </c>
      <c r="F22" s="157">
        <v>28468281388.73</v>
      </c>
      <c r="G22" s="155">
        <v>48119125402.449997</v>
      </c>
      <c r="H22" s="115"/>
    </row>
    <row r="23" spans="1:8">
      <c r="A23" s="9"/>
      <c r="C23" s="177" t="s">
        <v>28</v>
      </c>
      <c r="D23" s="155">
        <v>2083405137.5699999</v>
      </c>
      <c r="E23" s="156">
        <v>2540120700</v>
      </c>
      <c r="F23" s="157">
        <v>2030233504</v>
      </c>
      <c r="G23" s="155">
        <v>3118889465.1999998</v>
      </c>
      <c r="H23" s="115"/>
    </row>
    <row r="24" spans="1:8">
      <c r="A24" s="9"/>
      <c r="C24" s="177" t="s">
        <v>29</v>
      </c>
      <c r="D24" s="155">
        <v>211413947695.22</v>
      </c>
      <c r="E24" s="156">
        <v>237587065800</v>
      </c>
      <c r="F24" s="157">
        <v>174433492065.91</v>
      </c>
      <c r="G24" s="155">
        <v>279036663433.38</v>
      </c>
      <c r="H24" s="115"/>
    </row>
    <row r="25" spans="1:8">
      <c r="A25" s="9"/>
      <c r="C25" s="177" t="s">
        <v>30</v>
      </c>
      <c r="D25" s="155">
        <v>84894767609.100006</v>
      </c>
      <c r="E25" s="156">
        <v>92072800000</v>
      </c>
      <c r="F25" s="157">
        <v>70827541002.320007</v>
      </c>
      <c r="G25" s="155">
        <v>104002808052.43001</v>
      </c>
      <c r="H25" s="115"/>
    </row>
    <row r="26" spans="1:8">
      <c r="A26" s="9"/>
      <c r="C26" s="177" t="s">
        <v>31</v>
      </c>
      <c r="D26" s="155">
        <v>5332784436</v>
      </c>
      <c r="E26" s="156">
        <v>5490770000</v>
      </c>
      <c r="F26" s="157">
        <v>4749814979.2399998</v>
      </c>
      <c r="G26" s="155">
        <v>6620368517.1000004</v>
      </c>
      <c r="H26" s="115"/>
    </row>
    <row r="27" spans="1:8">
      <c r="A27" s="9"/>
      <c r="C27" s="177" t="s">
        <v>32</v>
      </c>
      <c r="D27" s="155">
        <v>3432115071.48</v>
      </c>
      <c r="E27" s="156">
        <v>3219695000</v>
      </c>
      <c r="F27" s="157">
        <v>2411934889</v>
      </c>
      <c r="G27" s="155">
        <v>3607997396.4099998</v>
      </c>
      <c r="H27" s="115"/>
    </row>
    <row r="28" spans="1:8">
      <c r="A28" s="9"/>
      <c r="C28" s="177" t="s">
        <v>33</v>
      </c>
      <c r="D28" s="155">
        <v>2229490270.02</v>
      </c>
      <c r="E28" s="156">
        <v>2577234700</v>
      </c>
      <c r="F28" s="157">
        <v>2435288932.3899999</v>
      </c>
      <c r="G28" s="155">
        <v>3592752403.3499999</v>
      </c>
      <c r="H28" s="115"/>
    </row>
    <row r="29" spans="1:8">
      <c r="A29" s="9"/>
      <c r="C29" s="177" t="s">
        <v>34</v>
      </c>
      <c r="D29" s="155">
        <v>142015985.41</v>
      </c>
      <c r="E29" s="156"/>
      <c r="F29" s="157">
        <v>87367550</v>
      </c>
      <c r="G29" s="155">
        <v>0</v>
      </c>
      <c r="H29" s="115"/>
    </row>
    <row r="30" spans="1:8">
      <c r="A30" s="9"/>
      <c r="C30" s="177" t="s">
        <v>35</v>
      </c>
      <c r="D30" s="155">
        <v>86359248.819999993</v>
      </c>
      <c r="E30" s="156">
        <v>75600000</v>
      </c>
      <c r="F30" s="157">
        <v>75271805</v>
      </c>
      <c r="G30" s="155">
        <v>110054578.59999999</v>
      </c>
      <c r="H30" s="115"/>
    </row>
    <row r="31" spans="1:8">
      <c r="A31" s="9"/>
      <c r="C31" s="177" t="s">
        <v>36</v>
      </c>
      <c r="D31" s="155">
        <v>310047727.22000003</v>
      </c>
      <c r="E31" s="156">
        <v>323848704</v>
      </c>
      <c r="F31" s="157">
        <v>220380342</v>
      </c>
      <c r="G31" s="155">
        <v>327036504</v>
      </c>
      <c r="H31" s="115"/>
    </row>
    <row r="32" spans="1:8">
      <c r="A32" s="9"/>
      <c r="C32" s="177" t="s">
        <v>37</v>
      </c>
      <c r="D32" s="158">
        <v>2931910514.3499999</v>
      </c>
      <c r="E32" s="156">
        <v>1528653600</v>
      </c>
      <c r="F32" s="157">
        <v>1302871667.3600001</v>
      </c>
      <c r="G32" s="155">
        <v>1844736282</v>
      </c>
      <c r="H32" s="115"/>
    </row>
    <row r="33" spans="1:9">
      <c r="A33" s="9"/>
      <c r="C33" s="176" t="s">
        <v>38</v>
      </c>
      <c r="D33" s="626">
        <v>626358446430.81628</v>
      </c>
      <c r="E33" s="627">
        <v>671536098866.98999</v>
      </c>
      <c r="F33" s="626">
        <v>501585771753.56</v>
      </c>
      <c r="G33" s="626">
        <v>824295808437.58997</v>
      </c>
      <c r="H33" s="182"/>
    </row>
    <row r="34" spans="1:9">
      <c r="A34" s="9"/>
      <c r="C34" s="115"/>
      <c r="D34" s="155"/>
      <c r="E34" s="159"/>
      <c r="F34" s="157"/>
      <c r="G34" s="155"/>
      <c r="H34" s="115"/>
    </row>
    <row r="35" spans="1:9">
      <c r="A35" s="9"/>
      <c r="C35" s="115"/>
      <c r="D35" s="160"/>
      <c r="E35" s="159"/>
      <c r="F35" s="157"/>
      <c r="G35" s="155"/>
      <c r="H35" s="115"/>
    </row>
    <row r="36" spans="1:9">
      <c r="A36" s="9"/>
      <c r="B36" s="4" t="s">
        <v>39</v>
      </c>
      <c r="C36" s="176" t="s">
        <v>40</v>
      </c>
      <c r="D36" s="160">
        <v>94936696985.469986</v>
      </c>
      <c r="E36" s="159">
        <v>65398700000</v>
      </c>
      <c r="F36" s="157">
        <v>43228458949.438004</v>
      </c>
      <c r="G36" s="175">
        <v>65228522019.203339</v>
      </c>
      <c r="H36" s="115"/>
    </row>
    <row r="37" spans="1:9">
      <c r="A37" s="9"/>
      <c r="C37" s="177" t="s">
        <v>41</v>
      </c>
      <c r="D37" s="160">
        <v>0</v>
      </c>
      <c r="E37" s="159"/>
      <c r="F37" s="157">
        <v>532277869.76999998</v>
      </c>
      <c r="G37" s="155"/>
      <c r="H37" s="115"/>
    </row>
    <row r="38" spans="1:9" ht="13.5" thickBot="1">
      <c r="A38" s="9"/>
      <c r="C38" s="115"/>
      <c r="D38" s="160"/>
      <c r="E38" s="159"/>
      <c r="F38" s="157"/>
      <c r="G38" s="155"/>
      <c r="H38" s="115"/>
    </row>
    <row r="39" spans="1:9" ht="13.5" thickBot="1">
      <c r="A39" s="9"/>
      <c r="C39" s="176" t="s">
        <v>42</v>
      </c>
      <c r="D39" s="628">
        <v>721295143416.28625</v>
      </c>
      <c r="E39" s="628">
        <v>736934798866.98999</v>
      </c>
      <c r="F39" s="628">
        <v>545346508572.76801</v>
      </c>
      <c r="G39" s="628">
        <v>889524330456.79333</v>
      </c>
      <c r="H39" s="182"/>
    </row>
    <row r="40" spans="1:9">
      <c r="A40" s="9"/>
      <c r="C40" s="115"/>
      <c r="D40" s="155"/>
      <c r="E40" s="159"/>
      <c r="F40" s="157"/>
      <c r="G40" s="155"/>
      <c r="H40" s="115"/>
    </row>
    <row r="41" spans="1:9">
      <c r="A41" s="9"/>
      <c r="B41" s="4" t="s">
        <v>43</v>
      </c>
      <c r="C41" s="176" t="s">
        <v>44</v>
      </c>
      <c r="D41" s="161"/>
      <c r="E41" s="159"/>
      <c r="F41" s="157"/>
      <c r="G41" s="155"/>
      <c r="H41" s="115"/>
    </row>
    <row r="42" spans="1:9">
      <c r="A42" s="9"/>
      <c r="C42" s="177" t="s">
        <v>45</v>
      </c>
      <c r="D42" s="162">
        <v>0</v>
      </c>
      <c r="E42" s="162">
        <v>0</v>
      </c>
      <c r="F42" s="162">
        <v>0</v>
      </c>
      <c r="G42" s="162">
        <v>0</v>
      </c>
      <c r="H42" s="115"/>
    </row>
    <row r="43" spans="1:9">
      <c r="A43" s="9"/>
      <c r="C43" s="177" t="s">
        <v>46</v>
      </c>
      <c r="D43" s="162">
        <v>933288499.60000002</v>
      </c>
      <c r="E43" s="162">
        <v>1477000000</v>
      </c>
      <c r="F43" s="162">
        <v>2747383244.3500004</v>
      </c>
      <c r="G43" s="162">
        <v>168331256.81</v>
      </c>
      <c r="H43" s="115"/>
    </row>
    <row r="44" spans="1:9">
      <c r="A44" s="9"/>
      <c r="C44" s="177" t="s">
        <v>47</v>
      </c>
      <c r="D44" s="162">
        <v>2548243982.3299999</v>
      </c>
      <c r="E44" s="162">
        <v>32514600000</v>
      </c>
      <c r="F44" s="162">
        <v>552185434.58000004</v>
      </c>
      <c r="G44" s="162">
        <v>15826200000</v>
      </c>
      <c r="H44" s="115"/>
    </row>
    <row r="45" spans="1:9">
      <c r="A45" s="9"/>
      <c r="C45" s="115"/>
      <c r="D45" s="162"/>
      <c r="E45" s="159"/>
      <c r="F45" s="157"/>
      <c r="G45" s="155"/>
      <c r="H45" s="115"/>
    </row>
    <row r="46" spans="1:9">
      <c r="A46" s="9"/>
      <c r="C46" s="176" t="s">
        <v>48</v>
      </c>
      <c r="D46" s="629">
        <v>3481532481.9299998</v>
      </c>
      <c r="E46" s="627">
        <v>33991600000</v>
      </c>
      <c r="F46" s="626">
        <v>3299568678.9300003</v>
      </c>
      <c r="G46" s="626">
        <v>15994531256.809999</v>
      </c>
      <c r="H46" s="182"/>
    </row>
    <row r="47" spans="1:9">
      <c r="A47" s="9"/>
      <c r="C47" s="115"/>
      <c r="D47" s="155"/>
      <c r="E47" s="159"/>
      <c r="F47" s="157"/>
      <c r="G47" s="155"/>
      <c r="H47" s="115"/>
      <c r="I47" s="4" t="s">
        <v>18</v>
      </c>
    </row>
    <row r="48" spans="1:9">
      <c r="A48" s="9"/>
      <c r="C48" s="176" t="s">
        <v>49</v>
      </c>
      <c r="D48" s="174">
        <v>724776675898.21631</v>
      </c>
      <c r="E48" s="627">
        <v>770926398866.98999</v>
      </c>
      <c r="F48" s="626">
        <v>548646077251.698</v>
      </c>
      <c r="G48" s="626">
        <v>905518861713.60339</v>
      </c>
      <c r="H48" s="182"/>
    </row>
    <row r="49" spans="1:9" ht="14.25" customHeight="1">
      <c r="A49" s="9"/>
      <c r="C49" s="176"/>
      <c r="D49" s="161"/>
      <c r="E49" s="163"/>
      <c r="F49" s="164"/>
      <c r="G49" s="165"/>
      <c r="H49" s="115"/>
    </row>
    <row r="50" spans="1:9">
      <c r="A50" s="9"/>
      <c r="C50" s="115"/>
      <c r="D50" s="155"/>
      <c r="E50" s="159"/>
      <c r="F50" s="157"/>
      <c r="G50" s="155"/>
      <c r="H50" s="115"/>
    </row>
    <row r="51" spans="1:9">
      <c r="A51" s="9"/>
      <c r="B51" s="4" t="s">
        <v>50</v>
      </c>
      <c r="C51" s="178" t="s">
        <v>51</v>
      </c>
      <c r="D51" s="166"/>
      <c r="E51" s="159"/>
      <c r="F51" s="157"/>
      <c r="G51" s="155"/>
      <c r="H51" s="115"/>
    </row>
    <row r="52" spans="1:9">
      <c r="A52" s="9"/>
      <c r="B52" s="4" t="s">
        <v>52</v>
      </c>
      <c r="C52" s="179" t="s">
        <v>53</v>
      </c>
      <c r="D52" s="167"/>
      <c r="E52" s="159"/>
      <c r="F52" s="157"/>
      <c r="G52" s="155"/>
      <c r="H52" s="115"/>
    </row>
    <row r="53" spans="1:9">
      <c r="A53" s="9"/>
      <c r="C53" s="180" t="s">
        <v>54</v>
      </c>
      <c r="D53" s="168">
        <v>135700000</v>
      </c>
      <c r="E53" s="168">
        <v>4908300000</v>
      </c>
      <c r="F53" s="168">
        <v>0</v>
      </c>
      <c r="G53" s="168">
        <v>1283400000</v>
      </c>
      <c r="H53" s="115"/>
    </row>
    <row r="54" spans="1:9">
      <c r="A54" s="9"/>
      <c r="C54" s="180" t="s">
        <v>55</v>
      </c>
      <c r="D54" s="168">
        <v>0</v>
      </c>
      <c r="E54" s="168">
        <v>0</v>
      </c>
      <c r="F54" s="168">
        <v>0</v>
      </c>
      <c r="G54" s="168">
        <v>0</v>
      </c>
      <c r="H54" s="115"/>
    </row>
    <row r="55" spans="1:9">
      <c r="A55" s="9"/>
      <c r="C55" s="180" t="s">
        <v>56</v>
      </c>
      <c r="D55" s="168">
        <v>0</v>
      </c>
      <c r="E55" s="168">
        <v>0</v>
      </c>
      <c r="F55" s="168">
        <v>58160284.200000003</v>
      </c>
      <c r="G55" s="168">
        <v>0</v>
      </c>
      <c r="H55" s="115"/>
    </row>
    <row r="56" spans="1:9">
      <c r="A56" s="9"/>
      <c r="C56" s="180"/>
      <c r="D56" s="168"/>
      <c r="E56" s="168"/>
      <c r="F56" s="168"/>
      <c r="G56" s="168"/>
      <c r="H56" s="115"/>
    </row>
    <row r="57" spans="1:9">
      <c r="A57" s="9"/>
      <c r="B57" s="4" t="s">
        <v>57</v>
      </c>
      <c r="C57" s="179" t="s">
        <v>58</v>
      </c>
      <c r="D57" s="167"/>
      <c r="E57" s="167"/>
      <c r="F57" s="167"/>
      <c r="G57" s="167"/>
      <c r="H57" s="182"/>
    </row>
    <row r="58" spans="1:9">
      <c r="A58" s="9"/>
      <c r="C58" s="115" t="s">
        <v>59</v>
      </c>
      <c r="D58" s="169">
        <v>730862725</v>
      </c>
      <c r="E58" s="169">
        <v>0</v>
      </c>
      <c r="F58" s="169">
        <v>1001157094.8</v>
      </c>
      <c r="G58" s="169">
        <v>0</v>
      </c>
      <c r="H58" s="115"/>
    </row>
    <row r="59" spans="1:9">
      <c r="A59" s="9"/>
      <c r="C59" s="115" t="s">
        <v>60</v>
      </c>
      <c r="D59" s="169">
        <v>8846611007.6000004</v>
      </c>
      <c r="E59" s="169">
        <v>6459981000</v>
      </c>
      <c r="F59" s="169">
        <v>77500000</v>
      </c>
      <c r="G59" s="169">
        <v>0</v>
      </c>
      <c r="H59" s="115"/>
    </row>
    <row r="60" spans="1:9">
      <c r="A60" s="9"/>
      <c r="C60" s="115" t="s">
        <v>61</v>
      </c>
      <c r="D60" s="169">
        <v>0</v>
      </c>
      <c r="E60" s="169">
        <v>0</v>
      </c>
      <c r="F60" s="169">
        <v>2958070984.8699999</v>
      </c>
      <c r="G60" s="169">
        <v>6591107000</v>
      </c>
      <c r="H60" s="115"/>
    </row>
    <row r="61" spans="1:9">
      <c r="A61" s="9"/>
      <c r="C61" s="178" t="s">
        <v>62</v>
      </c>
      <c r="D61" s="170">
        <v>9713173732.6000004</v>
      </c>
      <c r="E61" s="150">
        <v>11368281000</v>
      </c>
      <c r="F61" s="151">
        <v>4094888363.8699999</v>
      </c>
      <c r="G61" s="151">
        <v>7874507000</v>
      </c>
      <c r="H61" s="115"/>
    </row>
    <row r="62" spans="1:9">
      <c r="A62" s="9"/>
      <c r="C62" s="178"/>
      <c r="D62" s="166"/>
      <c r="E62" s="171"/>
      <c r="F62" s="172"/>
      <c r="G62" s="173"/>
      <c r="H62" s="182"/>
    </row>
    <row r="63" spans="1:9">
      <c r="A63" s="9"/>
      <c r="B63" s="4" t="s">
        <v>63</v>
      </c>
      <c r="C63" s="178" t="s">
        <v>64</v>
      </c>
      <c r="D63" s="166"/>
      <c r="E63" s="159"/>
      <c r="F63" s="157"/>
      <c r="G63" s="155"/>
      <c r="H63" s="115"/>
      <c r="I63" s="111"/>
    </row>
    <row r="64" spans="1:9">
      <c r="A64" s="9"/>
      <c r="C64" s="180" t="s">
        <v>65</v>
      </c>
      <c r="D64" s="168">
        <v>161973500104.66</v>
      </c>
      <c r="E64" s="168">
        <v>124130100000</v>
      </c>
      <c r="F64" s="168">
        <v>53404742858.080002</v>
      </c>
      <c r="G64" s="168">
        <v>139472470766.17999</v>
      </c>
      <c r="H64" s="115"/>
    </row>
    <row r="65" spans="1:9">
      <c r="A65" s="9"/>
      <c r="C65" s="2"/>
      <c r="D65" s="168"/>
      <c r="E65" s="159"/>
      <c r="F65" s="157"/>
      <c r="G65" s="155"/>
      <c r="H65" s="115"/>
    </row>
    <row r="66" spans="1:9">
      <c r="A66" s="9"/>
      <c r="C66" s="178" t="s">
        <v>66</v>
      </c>
      <c r="D66" s="174">
        <v>161973500104.66</v>
      </c>
      <c r="E66" s="174">
        <v>124130100000</v>
      </c>
      <c r="F66" s="174">
        <v>53404742858.080002</v>
      </c>
      <c r="G66" s="174">
        <v>139472470766.17999</v>
      </c>
      <c r="H66" s="115"/>
    </row>
    <row r="67" spans="1:9">
      <c r="A67" s="9"/>
      <c r="C67" s="2"/>
      <c r="D67" s="175"/>
      <c r="E67" s="159"/>
      <c r="F67" s="157"/>
      <c r="G67" s="155"/>
      <c r="H67" s="115"/>
    </row>
    <row r="68" spans="1:9">
      <c r="A68" s="9"/>
      <c r="C68" s="178" t="s">
        <v>67</v>
      </c>
      <c r="D68" s="174">
        <v>896463349735.47632</v>
      </c>
      <c r="E68" s="151">
        <v>906424779866.98999</v>
      </c>
      <c r="F68" s="151">
        <v>606145708473.64795</v>
      </c>
      <c r="G68" s="151">
        <v>1052865839479.7834</v>
      </c>
      <c r="H68" s="115"/>
    </row>
    <row r="69" spans="1:9">
      <c r="A69" s="9"/>
      <c r="C69" s="15"/>
      <c r="D69" s="15"/>
      <c r="E69" s="181"/>
      <c r="F69" s="115"/>
      <c r="G69" s="10"/>
    </row>
    <row r="70" spans="1:9">
      <c r="A70" s="9"/>
      <c r="C70" s="15"/>
      <c r="D70" s="15"/>
      <c r="E70" s="181"/>
      <c r="F70" s="181"/>
      <c r="G70" s="10"/>
    </row>
    <row r="71" spans="1:9">
      <c r="A71" s="9"/>
      <c r="C71" s="15"/>
      <c r="D71" s="15"/>
      <c r="E71" s="181"/>
      <c r="F71" s="181"/>
      <c r="G71" s="10"/>
    </row>
    <row r="72" spans="1:9">
      <c r="A72" s="9"/>
      <c r="C72" s="15" t="s">
        <v>68</v>
      </c>
      <c r="D72" s="15"/>
      <c r="E72" s="181"/>
      <c r="F72" s="181"/>
      <c r="G72" s="10"/>
    </row>
    <row r="73" spans="1:9" s="12" customFormat="1">
      <c r="A73" s="11"/>
      <c r="C73" s="183"/>
      <c r="D73" s="183"/>
      <c r="E73" s="184"/>
      <c r="F73" s="184"/>
      <c r="G73" s="13"/>
      <c r="H73" s="632"/>
    </row>
    <row r="74" spans="1:9">
      <c r="C74" s="15"/>
      <c r="D74" s="15"/>
      <c r="E74" s="114"/>
      <c r="F74" s="111"/>
    </row>
    <row r="75" spans="1:9">
      <c r="C75" s="15"/>
      <c r="D75" s="15"/>
      <c r="E75" s="114"/>
      <c r="F75" s="111"/>
    </row>
    <row r="76" spans="1:9">
      <c r="C76" s="15"/>
      <c r="D76" s="15"/>
      <c r="E76" s="114"/>
      <c r="F76" s="111"/>
    </row>
    <row r="77" spans="1:9">
      <c r="C77" s="4"/>
      <c r="D77" s="4"/>
      <c r="E77" s="114"/>
      <c r="F77" s="111"/>
    </row>
    <row r="78" spans="1:9">
      <c r="C78" s="15"/>
      <c r="D78" s="15"/>
      <c r="E78" s="114"/>
      <c r="F78" s="111"/>
    </row>
    <row r="79" spans="1:9">
      <c r="C79" s="16"/>
      <c r="D79" s="16"/>
      <c r="F79" s="118"/>
      <c r="G79" s="16"/>
      <c r="I79" s="8"/>
    </row>
    <row r="80" spans="1:9">
      <c r="C80" s="16"/>
      <c r="D80" s="16"/>
      <c r="G80" s="16"/>
      <c r="I80" s="8"/>
    </row>
    <row r="82" spans="5:9">
      <c r="I82" s="8"/>
    </row>
    <row r="83" spans="5:9">
      <c r="I83" s="8"/>
    </row>
    <row r="89" spans="5:9">
      <c r="E89" s="119"/>
      <c r="F89" s="118"/>
      <c r="G89" s="4"/>
      <c r="H89" s="3"/>
    </row>
    <row r="90" spans="5:9">
      <c r="E90" s="119"/>
      <c r="F90" s="118"/>
      <c r="G90" s="4"/>
      <c r="H90" s="3"/>
    </row>
    <row r="91" spans="5:9">
      <c r="E91" s="119"/>
      <c r="F91" s="118"/>
      <c r="G91" s="4"/>
      <c r="H91" s="3"/>
    </row>
    <row r="92" spans="5:9">
      <c r="E92" s="119"/>
      <c r="F92" s="118"/>
      <c r="G92" s="4"/>
      <c r="H92" s="3"/>
    </row>
    <row r="93" spans="5:9">
      <c r="E93" s="119"/>
      <c r="F93" s="118"/>
      <c r="G93" s="4"/>
      <c r="H93" s="3"/>
    </row>
    <row r="94" spans="5:9">
      <c r="E94" s="119"/>
      <c r="F94" s="118"/>
      <c r="G94" s="4"/>
      <c r="H94" s="3"/>
    </row>
    <row r="95" spans="5:9">
      <c r="E95" s="119"/>
      <c r="F95" s="118"/>
      <c r="G95" s="4"/>
      <c r="H95" s="3"/>
    </row>
    <row r="96" spans="5:9">
      <c r="E96" s="119"/>
      <c r="F96" s="118"/>
      <c r="G96" s="4"/>
      <c r="H96" s="3"/>
    </row>
    <row r="97" spans="4:8">
      <c r="E97" s="119"/>
      <c r="F97" s="118"/>
      <c r="G97" s="4"/>
      <c r="H97" s="3"/>
    </row>
    <row r="98" spans="4:8">
      <c r="E98" s="119"/>
      <c r="F98" s="118"/>
      <c r="G98" s="4"/>
      <c r="H98" s="3"/>
    </row>
    <row r="99" spans="4:8">
      <c r="E99" s="119"/>
      <c r="F99" s="118"/>
      <c r="G99" s="4"/>
      <c r="H99" s="3"/>
    </row>
    <row r="100" spans="4:8">
      <c r="D100" s="15"/>
      <c r="E100" s="119"/>
      <c r="F100" s="118"/>
      <c r="G100" s="4"/>
      <c r="H100" s="3"/>
    </row>
  </sheetData>
  <mergeCells count="5">
    <mergeCell ref="A1:G1"/>
    <mergeCell ref="A2:G2"/>
    <mergeCell ref="A3:G3"/>
    <mergeCell ref="A4:G4"/>
    <mergeCell ref="A7:C7"/>
  </mergeCells>
  <printOptions horizontalCentered="1"/>
  <pageMargins left="0.27559055118110237" right="0.27559055118110237" top="0.35433070866141736" bottom="0.55118110236220474" header="0.19685039370078741" footer="0.15748031496062992"/>
  <pageSetup scale="8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732"/>
  <sheetViews>
    <sheetView view="pageBreakPreview" topLeftCell="F1" zoomScale="110" zoomScaleNormal="90" zoomScaleSheetLayoutView="110" workbookViewId="0">
      <pane xSplit="1" ySplit="10" topLeftCell="G11" activePane="bottomRight" state="frozen"/>
      <selection pane="bottomRight" activeCell="F402" sqref="A402:XFD402"/>
      <selection pane="bottomLeft" activeCell="F11" sqref="F11"/>
      <selection pane="topRight" activeCell="G1" sqref="G1"/>
    </sheetView>
  </sheetViews>
  <sheetFormatPr defaultRowHeight="12.6"/>
  <cols>
    <col min="1" max="1" width="8.42578125" style="493" hidden="1" customWidth="1"/>
    <col min="2" max="2" width="5.42578125" style="494" hidden="1" customWidth="1"/>
    <col min="3" max="4" width="4.42578125" style="494" hidden="1" customWidth="1"/>
    <col min="5" max="5" width="9.85546875" style="494" hidden="1" customWidth="1"/>
    <col min="6" max="6" width="39.140625" style="565" customWidth="1"/>
    <col min="7" max="7" width="15.85546875" style="378" bestFit="1" customWidth="1"/>
    <col min="8" max="8" width="16.7109375" style="372" bestFit="1" customWidth="1"/>
    <col min="9" max="9" width="17.5703125" style="492" bestFit="1" customWidth="1"/>
    <col min="10" max="10" width="17.140625" style="372" bestFit="1" customWidth="1"/>
    <col min="11" max="11" width="16.5703125" style="569" bestFit="1" customWidth="1"/>
    <col min="12" max="12" width="3.140625" style="570" hidden="1" customWidth="1"/>
    <col min="13" max="13" width="0.28515625" style="567" hidden="1" customWidth="1"/>
    <col min="14" max="14" width="0.140625" style="495" hidden="1" customWidth="1"/>
    <col min="15" max="15" width="20.42578125" style="495" hidden="1" customWidth="1"/>
    <col min="16" max="16" width="9.140625" style="495"/>
    <col min="17" max="17" width="17.7109375" style="495" bestFit="1" customWidth="1"/>
    <col min="18" max="240" width="9.140625" style="495"/>
    <col min="241" max="241" width="1.140625" style="495" customWidth="1"/>
    <col min="242" max="242" width="2.7109375" style="495" customWidth="1"/>
    <col min="243" max="243" width="40.42578125" style="495" customWidth="1"/>
    <col min="244" max="245" width="18.42578125" style="495" customWidth="1"/>
    <col min="246" max="246" width="18.85546875" style="495" customWidth="1"/>
    <col min="247" max="247" width="18.28515625" style="495" customWidth="1"/>
    <col min="248" max="248" width="17.140625" style="495" customWidth="1"/>
    <col min="249" max="249" width="9.140625" style="495"/>
    <col min="250" max="250" width="22" style="495" customWidth="1"/>
    <col min="251" max="251" width="20.28515625" style="495" customWidth="1"/>
    <col min="252" max="252" width="14.85546875" style="495" customWidth="1"/>
    <col min="253" max="253" width="21.28515625" style="495" customWidth="1"/>
    <col min="254" max="496" width="9.140625" style="495"/>
    <col min="497" max="497" width="1.140625" style="495" customWidth="1"/>
    <col min="498" max="498" width="2.7109375" style="495" customWidth="1"/>
    <col min="499" max="499" width="40.42578125" style="495" customWidth="1"/>
    <col min="500" max="501" width="18.42578125" style="495" customWidth="1"/>
    <col min="502" max="502" width="18.85546875" style="495" customWidth="1"/>
    <col min="503" max="503" width="18.28515625" style="495" customWidth="1"/>
    <col min="504" max="504" width="17.140625" style="495" customWidth="1"/>
    <col min="505" max="505" width="9.140625" style="495"/>
    <col min="506" max="506" width="22" style="495" customWidth="1"/>
    <col min="507" max="507" width="20.28515625" style="495" customWidth="1"/>
    <col min="508" max="508" width="14.85546875" style="495" customWidth="1"/>
    <col min="509" max="509" width="21.28515625" style="495" customWidth="1"/>
    <col min="510" max="752" width="9.140625" style="495"/>
    <col min="753" max="753" width="1.140625" style="495" customWidth="1"/>
    <col min="754" max="754" width="2.7109375" style="495" customWidth="1"/>
    <col min="755" max="755" width="40.42578125" style="495" customWidth="1"/>
    <col min="756" max="757" width="18.42578125" style="495" customWidth="1"/>
    <col min="758" max="758" width="18.85546875" style="495" customWidth="1"/>
    <col min="759" max="759" width="18.28515625" style="495" customWidth="1"/>
    <col min="760" max="760" width="17.140625" style="495" customWidth="1"/>
    <col min="761" max="761" width="9.140625" style="495"/>
    <col min="762" max="762" width="22" style="495" customWidth="1"/>
    <col min="763" max="763" width="20.28515625" style="495" customWidth="1"/>
    <col min="764" max="764" width="14.85546875" style="495" customWidth="1"/>
    <col min="765" max="765" width="21.28515625" style="495" customWidth="1"/>
    <col min="766" max="1008" width="9.140625" style="495"/>
    <col min="1009" max="1009" width="1.140625" style="495" customWidth="1"/>
    <col min="1010" max="1010" width="2.7109375" style="495" customWidth="1"/>
    <col min="1011" max="1011" width="40.42578125" style="495" customWidth="1"/>
    <col min="1012" max="1013" width="18.42578125" style="495" customWidth="1"/>
    <col min="1014" max="1014" width="18.85546875" style="495" customWidth="1"/>
    <col min="1015" max="1015" width="18.28515625" style="495" customWidth="1"/>
    <col min="1016" max="1016" width="17.140625" style="495" customWidth="1"/>
    <col min="1017" max="1017" width="9.140625" style="495"/>
    <col min="1018" max="1018" width="22" style="495" customWidth="1"/>
    <col min="1019" max="1019" width="20.28515625" style="495" customWidth="1"/>
    <col min="1020" max="1020" width="14.85546875" style="495" customWidth="1"/>
    <col min="1021" max="1021" width="21.28515625" style="495" customWidth="1"/>
    <col min="1022" max="1264" width="9.140625" style="495"/>
    <col min="1265" max="1265" width="1.140625" style="495" customWidth="1"/>
    <col min="1266" max="1266" width="2.7109375" style="495" customWidth="1"/>
    <col min="1267" max="1267" width="40.42578125" style="495" customWidth="1"/>
    <col min="1268" max="1269" width="18.42578125" style="495" customWidth="1"/>
    <col min="1270" max="1270" width="18.85546875" style="495" customWidth="1"/>
    <col min="1271" max="1271" width="18.28515625" style="495" customWidth="1"/>
    <col min="1272" max="1272" width="17.140625" style="495" customWidth="1"/>
    <col min="1273" max="1273" width="9.140625" style="495"/>
    <col min="1274" max="1274" width="22" style="495" customWidth="1"/>
    <col min="1275" max="1275" width="20.28515625" style="495" customWidth="1"/>
    <col min="1276" max="1276" width="14.85546875" style="495" customWidth="1"/>
    <col min="1277" max="1277" width="21.28515625" style="495" customWidth="1"/>
    <col min="1278" max="1520" width="9.140625" style="495"/>
    <col min="1521" max="1521" width="1.140625" style="495" customWidth="1"/>
    <col min="1522" max="1522" width="2.7109375" style="495" customWidth="1"/>
    <col min="1523" max="1523" width="40.42578125" style="495" customWidth="1"/>
    <col min="1524" max="1525" width="18.42578125" style="495" customWidth="1"/>
    <col min="1526" max="1526" width="18.85546875" style="495" customWidth="1"/>
    <col min="1527" max="1527" width="18.28515625" style="495" customWidth="1"/>
    <col min="1528" max="1528" width="17.140625" style="495" customWidth="1"/>
    <col min="1529" max="1529" width="9.140625" style="495"/>
    <col min="1530" max="1530" width="22" style="495" customWidth="1"/>
    <col min="1531" max="1531" width="20.28515625" style="495" customWidth="1"/>
    <col min="1532" max="1532" width="14.85546875" style="495" customWidth="1"/>
    <col min="1533" max="1533" width="21.28515625" style="495" customWidth="1"/>
    <col min="1534" max="1776" width="9.140625" style="495"/>
    <col min="1777" max="1777" width="1.140625" style="495" customWidth="1"/>
    <col min="1778" max="1778" width="2.7109375" style="495" customWidth="1"/>
    <col min="1779" max="1779" width="40.42578125" style="495" customWidth="1"/>
    <col min="1780" max="1781" width="18.42578125" style="495" customWidth="1"/>
    <col min="1782" max="1782" width="18.85546875" style="495" customWidth="1"/>
    <col min="1783" max="1783" width="18.28515625" style="495" customWidth="1"/>
    <col min="1784" max="1784" width="17.140625" style="495" customWidth="1"/>
    <col min="1785" max="1785" width="9.140625" style="495"/>
    <col min="1786" max="1786" width="22" style="495" customWidth="1"/>
    <col min="1787" max="1787" width="20.28515625" style="495" customWidth="1"/>
    <col min="1788" max="1788" width="14.85546875" style="495" customWidth="1"/>
    <col min="1789" max="1789" width="21.28515625" style="495" customWidth="1"/>
    <col min="1790" max="2032" width="9.140625" style="495"/>
    <col min="2033" max="2033" width="1.140625" style="495" customWidth="1"/>
    <col min="2034" max="2034" width="2.7109375" style="495" customWidth="1"/>
    <col min="2035" max="2035" width="40.42578125" style="495" customWidth="1"/>
    <col min="2036" max="2037" width="18.42578125" style="495" customWidth="1"/>
    <col min="2038" max="2038" width="18.85546875" style="495" customWidth="1"/>
    <col min="2039" max="2039" width="18.28515625" style="495" customWidth="1"/>
    <col min="2040" max="2040" width="17.140625" style="495" customWidth="1"/>
    <col min="2041" max="2041" width="9.140625" style="495"/>
    <col min="2042" max="2042" width="22" style="495" customWidth="1"/>
    <col min="2043" max="2043" width="20.28515625" style="495" customWidth="1"/>
    <col min="2044" max="2044" width="14.85546875" style="495" customWidth="1"/>
    <col min="2045" max="2045" width="21.28515625" style="495" customWidth="1"/>
    <col min="2046" max="2288" width="9.140625" style="495"/>
    <col min="2289" max="2289" width="1.140625" style="495" customWidth="1"/>
    <col min="2290" max="2290" width="2.7109375" style="495" customWidth="1"/>
    <col min="2291" max="2291" width="40.42578125" style="495" customWidth="1"/>
    <col min="2292" max="2293" width="18.42578125" style="495" customWidth="1"/>
    <col min="2294" max="2294" width="18.85546875" style="495" customWidth="1"/>
    <col min="2295" max="2295" width="18.28515625" style="495" customWidth="1"/>
    <col min="2296" max="2296" width="17.140625" style="495" customWidth="1"/>
    <col min="2297" max="2297" width="9.140625" style="495"/>
    <col min="2298" max="2298" width="22" style="495" customWidth="1"/>
    <col min="2299" max="2299" width="20.28515625" style="495" customWidth="1"/>
    <col min="2300" max="2300" width="14.85546875" style="495" customWidth="1"/>
    <col min="2301" max="2301" width="21.28515625" style="495" customWidth="1"/>
    <col min="2302" max="2544" width="9.140625" style="495"/>
    <col min="2545" max="2545" width="1.140625" style="495" customWidth="1"/>
    <col min="2546" max="2546" width="2.7109375" style="495" customWidth="1"/>
    <col min="2547" max="2547" width="40.42578125" style="495" customWidth="1"/>
    <col min="2548" max="2549" width="18.42578125" style="495" customWidth="1"/>
    <col min="2550" max="2550" width="18.85546875" style="495" customWidth="1"/>
    <col min="2551" max="2551" width="18.28515625" style="495" customWidth="1"/>
    <col min="2552" max="2552" width="17.140625" style="495" customWidth="1"/>
    <col min="2553" max="2553" width="9.140625" style="495"/>
    <col min="2554" max="2554" width="22" style="495" customWidth="1"/>
    <col min="2555" max="2555" width="20.28515625" style="495" customWidth="1"/>
    <col min="2556" max="2556" width="14.85546875" style="495" customWidth="1"/>
    <col min="2557" max="2557" width="21.28515625" style="495" customWidth="1"/>
    <col min="2558" max="2800" width="9.140625" style="495"/>
    <col min="2801" max="2801" width="1.140625" style="495" customWidth="1"/>
    <col min="2802" max="2802" width="2.7109375" style="495" customWidth="1"/>
    <col min="2803" max="2803" width="40.42578125" style="495" customWidth="1"/>
    <col min="2804" max="2805" width="18.42578125" style="495" customWidth="1"/>
    <col min="2806" max="2806" width="18.85546875" style="495" customWidth="1"/>
    <col min="2807" max="2807" width="18.28515625" style="495" customWidth="1"/>
    <col min="2808" max="2808" width="17.140625" style="495" customWidth="1"/>
    <col min="2809" max="2809" width="9.140625" style="495"/>
    <col min="2810" max="2810" width="22" style="495" customWidth="1"/>
    <col min="2811" max="2811" width="20.28515625" style="495" customWidth="1"/>
    <col min="2812" max="2812" width="14.85546875" style="495" customWidth="1"/>
    <col min="2813" max="2813" width="21.28515625" style="495" customWidth="1"/>
    <col min="2814" max="3056" width="9.140625" style="495"/>
    <col min="3057" max="3057" width="1.140625" style="495" customWidth="1"/>
    <col min="3058" max="3058" width="2.7109375" style="495" customWidth="1"/>
    <col min="3059" max="3059" width="40.42578125" style="495" customWidth="1"/>
    <col min="3060" max="3061" width="18.42578125" style="495" customWidth="1"/>
    <col min="3062" max="3062" width="18.85546875" style="495" customWidth="1"/>
    <col min="3063" max="3063" width="18.28515625" style="495" customWidth="1"/>
    <col min="3064" max="3064" width="17.140625" style="495" customWidth="1"/>
    <col min="3065" max="3065" width="9.140625" style="495"/>
    <col min="3066" max="3066" width="22" style="495" customWidth="1"/>
    <col min="3067" max="3067" width="20.28515625" style="495" customWidth="1"/>
    <col min="3068" max="3068" width="14.85546875" style="495" customWidth="1"/>
    <col min="3069" max="3069" width="21.28515625" style="495" customWidth="1"/>
    <col min="3070" max="3312" width="9.140625" style="495"/>
    <col min="3313" max="3313" width="1.140625" style="495" customWidth="1"/>
    <col min="3314" max="3314" width="2.7109375" style="495" customWidth="1"/>
    <col min="3315" max="3315" width="40.42578125" style="495" customWidth="1"/>
    <col min="3316" max="3317" width="18.42578125" style="495" customWidth="1"/>
    <col min="3318" max="3318" width="18.85546875" style="495" customWidth="1"/>
    <col min="3319" max="3319" width="18.28515625" style="495" customWidth="1"/>
    <col min="3320" max="3320" width="17.140625" style="495" customWidth="1"/>
    <col min="3321" max="3321" width="9.140625" style="495"/>
    <col min="3322" max="3322" width="22" style="495" customWidth="1"/>
    <col min="3323" max="3323" width="20.28515625" style="495" customWidth="1"/>
    <col min="3324" max="3324" width="14.85546875" style="495" customWidth="1"/>
    <col min="3325" max="3325" width="21.28515625" style="495" customWidth="1"/>
    <col min="3326" max="3568" width="9.140625" style="495"/>
    <col min="3569" max="3569" width="1.140625" style="495" customWidth="1"/>
    <col min="3570" max="3570" width="2.7109375" style="495" customWidth="1"/>
    <col min="3571" max="3571" width="40.42578125" style="495" customWidth="1"/>
    <col min="3572" max="3573" width="18.42578125" style="495" customWidth="1"/>
    <col min="3574" max="3574" width="18.85546875" style="495" customWidth="1"/>
    <col min="3575" max="3575" width="18.28515625" style="495" customWidth="1"/>
    <col min="3576" max="3576" width="17.140625" style="495" customWidth="1"/>
    <col min="3577" max="3577" width="9.140625" style="495"/>
    <col min="3578" max="3578" width="22" style="495" customWidth="1"/>
    <col min="3579" max="3579" width="20.28515625" style="495" customWidth="1"/>
    <col min="3580" max="3580" width="14.85546875" style="495" customWidth="1"/>
    <col min="3581" max="3581" width="21.28515625" style="495" customWidth="1"/>
    <col min="3582" max="3824" width="9.140625" style="495"/>
    <col min="3825" max="3825" width="1.140625" style="495" customWidth="1"/>
    <col min="3826" max="3826" width="2.7109375" style="495" customWidth="1"/>
    <col min="3827" max="3827" width="40.42578125" style="495" customWidth="1"/>
    <col min="3828" max="3829" width="18.42578125" style="495" customWidth="1"/>
    <col min="3830" max="3830" width="18.85546875" style="495" customWidth="1"/>
    <col min="3831" max="3831" width="18.28515625" style="495" customWidth="1"/>
    <col min="3832" max="3832" width="17.140625" style="495" customWidth="1"/>
    <col min="3833" max="3833" width="9.140625" style="495"/>
    <col min="3834" max="3834" width="22" style="495" customWidth="1"/>
    <col min="3835" max="3835" width="20.28515625" style="495" customWidth="1"/>
    <col min="3836" max="3836" width="14.85546875" style="495" customWidth="1"/>
    <col min="3837" max="3837" width="21.28515625" style="495" customWidth="1"/>
    <col min="3838" max="4080" width="9.140625" style="495"/>
    <col min="4081" max="4081" width="1.140625" style="495" customWidth="1"/>
    <col min="4082" max="4082" width="2.7109375" style="495" customWidth="1"/>
    <col min="4083" max="4083" width="40.42578125" style="495" customWidth="1"/>
    <col min="4084" max="4085" width="18.42578125" style="495" customWidth="1"/>
    <col min="4086" max="4086" width="18.85546875" style="495" customWidth="1"/>
    <col min="4087" max="4087" width="18.28515625" style="495" customWidth="1"/>
    <col min="4088" max="4088" width="17.140625" style="495" customWidth="1"/>
    <col min="4089" max="4089" width="9.140625" style="495"/>
    <col min="4090" max="4090" width="22" style="495" customWidth="1"/>
    <col min="4091" max="4091" width="20.28515625" style="495" customWidth="1"/>
    <col min="4092" max="4092" width="14.85546875" style="495" customWidth="1"/>
    <col min="4093" max="4093" width="21.28515625" style="495" customWidth="1"/>
    <col min="4094" max="4336" width="9.140625" style="495"/>
    <col min="4337" max="4337" width="1.140625" style="495" customWidth="1"/>
    <col min="4338" max="4338" width="2.7109375" style="495" customWidth="1"/>
    <col min="4339" max="4339" width="40.42578125" style="495" customWidth="1"/>
    <col min="4340" max="4341" width="18.42578125" style="495" customWidth="1"/>
    <col min="4342" max="4342" width="18.85546875" style="495" customWidth="1"/>
    <col min="4343" max="4343" width="18.28515625" style="495" customWidth="1"/>
    <col min="4344" max="4344" width="17.140625" style="495" customWidth="1"/>
    <col min="4345" max="4345" width="9.140625" style="495"/>
    <col min="4346" max="4346" width="22" style="495" customWidth="1"/>
    <col min="4347" max="4347" width="20.28515625" style="495" customWidth="1"/>
    <col min="4348" max="4348" width="14.85546875" style="495" customWidth="1"/>
    <col min="4349" max="4349" width="21.28515625" style="495" customWidth="1"/>
    <col min="4350" max="4592" width="9.140625" style="495"/>
    <col min="4593" max="4593" width="1.140625" style="495" customWidth="1"/>
    <col min="4594" max="4594" width="2.7109375" style="495" customWidth="1"/>
    <col min="4595" max="4595" width="40.42578125" style="495" customWidth="1"/>
    <col min="4596" max="4597" width="18.42578125" style="495" customWidth="1"/>
    <col min="4598" max="4598" width="18.85546875" style="495" customWidth="1"/>
    <col min="4599" max="4599" width="18.28515625" style="495" customWidth="1"/>
    <col min="4600" max="4600" width="17.140625" style="495" customWidth="1"/>
    <col min="4601" max="4601" width="9.140625" style="495"/>
    <col min="4602" max="4602" width="22" style="495" customWidth="1"/>
    <col min="4603" max="4603" width="20.28515625" style="495" customWidth="1"/>
    <col min="4604" max="4604" width="14.85546875" style="495" customWidth="1"/>
    <col min="4605" max="4605" width="21.28515625" style="495" customWidth="1"/>
    <col min="4606" max="4848" width="9.140625" style="495"/>
    <col min="4849" max="4849" width="1.140625" style="495" customWidth="1"/>
    <col min="4850" max="4850" width="2.7109375" style="495" customWidth="1"/>
    <col min="4851" max="4851" width="40.42578125" style="495" customWidth="1"/>
    <col min="4852" max="4853" width="18.42578125" style="495" customWidth="1"/>
    <col min="4854" max="4854" width="18.85546875" style="495" customWidth="1"/>
    <col min="4855" max="4855" width="18.28515625" style="495" customWidth="1"/>
    <col min="4856" max="4856" width="17.140625" style="495" customWidth="1"/>
    <col min="4857" max="4857" width="9.140625" style="495"/>
    <col min="4858" max="4858" width="22" style="495" customWidth="1"/>
    <col min="4859" max="4859" width="20.28515625" style="495" customWidth="1"/>
    <col min="4860" max="4860" width="14.85546875" style="495" customWidth="1"/>
    <col min="4861" max="4861" width="21.28515625" style="495" customWidth="1"/>
    <col min="4862" max="5104" width="9.140625" style="495"/>
    <col min="5105" max="5105" width="1.140625" style="495" customWidth="1"/>
    <col min="5106" max="5106" width="2.7109375" style="495" customWidth="1"/>
    <col min="5107" max="5107" width="40.42578125" style="495" customWidth="1"/>
    <col min="5108" max="5109" width="18.42578125" style="495" customWidth="1"/>
    <col min="5110" max="5110" width="18.85546875" style="495" customWidth="1"/>
    <col min="5111" max="5111" width="18.28515625" style="495" customWidth="1"/>
    <col min="5112" max="5112" width="17.140625" style="495" customWidth="1"/>
    <col min="5113" max="5113" width="9.140625" style="495"/>
    <col min="5114" max="5114" width="22" style="495" customWidth="1"/>
    <col min="5115" max="5115" width="20.28515625" style="495" customWidth="1"/>
    <col min="5116" max="5116" width="14.85546875" style="495" customWidth="1"/>
    <col min="5117" max="5117" width="21.28515625" style="495" customWidth="1"/>
    <col min="5118" max="5360" width="9.140625" style="495"/>
    <col min="5361" max="5361" width="1.140625" style="495" customWidth="1"/>
    <col min="5362" max="5362" width="2.7109375" style="495" customWidth="1"/>
    <col min="5363" max="5363" width="40.42578125" style="495" customWidth="1"/>
    <col min="5364" max="5365" width="18.42578125" style="495" customWidth="1"/>
    <col min="5366" max="5366" width="18.85546875" style="495" customWidth="1"/>
    <col min="5367" max="5367" width="18.28515625" style="495" customWidth="1"/>
    <col min="5368" max="5368" width="17.140625" style="495" customWidth="1"/>
    <col min="5369" max="5369" width="9.140625" style="495"/>
    <col min="5370" max="5370" width="22" style="495" customWidth="1"/>
    <col min="5371" max="5371" width="20.28515625" style="495" customWidth="1"/>
    <col min="5372" max="5372" width="14.85546875" style="495" customWidth="1"/>
    <col min="5373" max="5373" width="21.28515625" style="495" customWidth="1"/>
    <col min="5374" max="5616" width="9.140625" style="495"/>
    <col min="5617" max="5617" width="1.140625" style="495" customWidth="1"/>
    <col min="5618" max="5618" width="2.7109375" style="495" customWidth="1"/>
    <col min="5619" max="5619" width="40.42578125" style="495" customWidth="1"/>
    <col min="5620" max="5621" width="18.42578125" style="495" customWidth="1"/>
    <col min="5622" max="5622" width="18.85546875" style="495" customWidth="1"/>
    <col min="5623" max="5623" width="18.28515625" style="495" customWidth="1"/>
    <col min="5624" max="5624" width="17.140625" style="495" customWidth="1"/>
    <col min="5625" max="5625" width="9.140625" style="495"/>
    <col min="5626" max="5626" width="22" style="495" customWidth="1"/>
    <col min="5627" max="5627" width="20.28515625" style="495" customWidth="1"/>
    <col min="5628" max="5628" width="14.85546875" style="495" customWidth="1"/>
    <col min="5629" max="5629" width="21.28515625" style="495" customWidth="1"/>
    <col min="5630" max="5872" width="9.140625" style="495"/>
    <col min="5873" max="5873" width="1.140625" style="495" customWidth="1"/>
    <col min="5874" max="5874" width="2.7109375" style="495" customWidth="1"/>
    <col min="5875" max="5875" width="40.42578125" style="495" customWidth="1"/>
    <col min="5876" max="5877" width="18.42578125" style="495" customWidth="1"/>
    <col min="5878" max="5878" width="18.85546875" style="495" customWidth="1"/>
    <col min="5879" max="5879" width="18.28515625" style="495" customWidth="1"/>
    <col min="5880" max="5880" width="17.140625" style="495" customWidth="1"/>
    <col min="5881" max="5881" width="9.140625" style="495"/>
    <col min="5882" max="5882" width="22" style="495" customWidth="1"/>
    <col min="5883" max="5883" width="20.28515625" style="495" customWidth="1"/>
    <col min="5884" max="5884" width="14.85546875" style="495" customWidth="1"/>
    <col min="5885" max="5885" width="21.28515625" style="495" customWidth="1"/>
    <col min="5886" max="6128" width="9.140625" style="495"/>
    <col min="6129" max="6129" width="1.140625" style="495" customWidth="1"/>
    <col min="6130" max="6130" width="2.7109375" style="495" customWidth="1"/>
    <col min="6131" max="6131" width="40.42578125" style="495" customWidth="1"/>
    <col min="6132" max="6133" width="18.42578125" style="495" customWidth="1"/>
    <col min="6134" max="6134" width="18.85546875" style="495" customWidth="1"/>
    <col min="6135" max="6135" width="18.28515625" style="495" customWidth="1"/>
    <col min="6136" max="6136" width="17.140625" style="495" customWidth="1"/>
    <col min="6137" max="6137" width="9.140625" style="495"/>
    <col min="6138" max="6138" width="22" style="495" customWidth="1"/>
    <col min="6139" max="6139" width="20.28515625" style="495" customWidth="1"/>
    <col min="6140" max="6140" width="14.85546875" style="495" customWidth="1"/>
    <col min="6141" max="6141" width="21.28515625" style="495" customWidth="1"/>
    <col min="6142" max="6384" width="9.140625" style="495"/>
    <col min="6385" max="6385" width="1.140625" style="495" customWidth="1"/>
    <col min="6386" max="6386" width="2.7109375" style="495" customWidth="1"/>
    <col min="6387" max="6387" width="40.42578125" style="495" customWidth="1"/>
    <col min="6388" max="6389" width="18.42578125" style="495" customWidth="1"/>
    <col min="6390" max="6390" width="18.85546875" style="495" customWidth="1"/>
    <col min="6391" max="6391" width="18.28515625" style="495" customWidth="1"/>
    <col min="6392" max="6392" width="17.140625" style="495" customWidth="1"/>
    <col min="6393" max="6393" width="9.140625" style="495"/>
    <col min="6394" max="6394" width="22" style="495" customWidth="1"/>
    <col min="6395" max="6395" width="20.28515625" style="495" customWidth="1"/>
    <col min="6396" max="6396" width="14.85546875" style="495" customWidth="1"/>
    <col min="6397" max="6397" width="21.28515625" style="495" customWidth="1"/>
    <col min="6398" max="6640" width="9.140625" style="495"/>
    <col min="6641" max="6641" width="1.140625" style="495" customWidth="1"/>
    <col min="6642" max="6642" width="2.7109375" style="495" customWidth="1"/>
    <col min="6643" max="6643" width="40.42578125" style="495" customWidth="1"/>
    <col min="6644" max="6645" width="18.42578125" style="495" customWidth="1"/>
    <col min="6646" max="6646" width="18.85546875" style="495" customWidth="1"/>
    <col min="6647" max="6647" width="18.28515625" style="495" customWidth="1"/>
    <col min="6648" max="6648" width="17.140625" style="495" customWidth="1"/>
    <col min="6649" max="6649" width="9.140625" style="495"/>
    <col min="6650" max="6650" width="22" style="495" customWidth="1"/>
    <col min="6651" max="6651" width="20.28515625" style="495" customWidth="1"/>
    <col min="6652" max="6652" width="14.85546875" style="495" customWidth="1"/>
    <col min="6653" max="6653" width="21.28515625" style="495" customWidth="1"/>
    <col min="6654" max="6896" width="9.140625" style="495"/>
    <col min="6897" max="6897" width="1.140625" style="495" customWidth="1"/>
    <col min="6898" max="6898" width="2.7109375" style="495" customWidth="1"/>
    <col min="6899" max="6899" width="40.42578125" style="495" customWidth="1"/>
    <col min="6900" max="6901" width="18.42578125" style="495" customWidth="1"/>
    <col min="6902" max="6902" width="18.85546875" style="495" customWidth="1"/>
    <col min="6903" max="6903" width="18.28515625" style="495" customWidth="1"/>
    <col min="6904" max="6904" width="17.140625" style="495" customWidth="1"/>
    <col min="6905" max="6905" width="9.140625" style="495"/>
    <col min="6906" max="6906" width="22" style="495" customWidth="1"/>
    <col min="6907" max="6907" width="20.28515625" style="495" customWidth="1"/>
    <col min="6908" max="6908" width="14.85546875" style="495" customWidth="1"/>
    <col min="6909" max="6909" width="21.28515625" style="495" customWidth="1"/>
    <col min="6910" max="7152" width="9.140625" style="495"/>
    <col min="7153" max="7153" width="1.140625" style="495" customWidth="1"/>
    <col min="7154" max="7154" width="2.7109375" style="495" customWidth="1"/>
    <col min="7155" max="7155" width="40.42578125" style="495" customWidth="1"/>
    <col min="7156" max="7157" width="18.42578125" style="495" customWidth="1"/>
    <col min="7158" max="7158" width="18.85546875" style="495" customWidth="1"/>
    <col min="7159" max="7159" width="18.28515625" style="495" customWidth="1"/>
    <col min="7160" max="7160" width="17.140625" style="495" customWidth="1"/>
    <col min="7161" max="7161" width="9.140625" style="495"/>
    <col min="7162" max="7162" width="22" style="495" customWidth="1"/>
    <col min="7163" max="7163" width="20.28515625" style="495" customWidth="1"/>
    <col min="7164" max="7164" width="14.85546875" style="495" customWidth="1"/>
    <col min="7165" max="7165" width="21.28515625" style="495" customWidth="1"/>
    <col min="7166" max="7408" width="9.140625" style="495"/>
    <col min="7409" max="7409" width="1.140625" style="495" customWidth="1"/>
    <col min="7410" max="7410" width="2.7109375" style="495" customWidth="1"/>
    <col min="7411" max="7411" width="40.42578125" style="495" customWidth="1"/>
    <col min="7412" max="7413" width="18.42578125" style="495" customWidth="1"/>
    <col min="7414" max="7414" width="18.85546875" style="495" customWidth="1"/>
    <col min="7415" max="7415" width="18.28515625" style="495" customWidth="1"/>
    <col min="7416" max="7416" width="17.140625" style="495" customWidth="1"/>
    <col min="7417" max="7417" width="9.140625" style="495"/>
    <col min="7418" max="7418" width="22" style="495" customWidth="1"/>
    <col min="7419" max="7419" width="20.28515625" style="495" customWidth="1"/>
    <col min="7420" max="7420" width="14.85546875" style="495" customWidth="1"/>
    <col min="7421" max="7421" width="21.28515625" style="495" customWidth="1"/>
    <col min="7422" max="7664" width="9.140625" style="495"/>
    <col min="7665" max="7665" width="1.140625" style="495" customWidth="1"/>
    <col min="7666" max="7666" width="2.7109375" style="495" customWidth="1"/>
    <col min="7667" max="7667" width="40.42578125" style="495" customWidth="1"/>
    <col min="7668" max="7669" width="18.42578125" style="495" customWidth="1"/>
    <col min="7670" max="7670" width="18.85546875" style="495" customWidth="1"/>
    <col min="7671" max="7671" width="18.28515625" style="495" customWidth="1"/>
    <col min="7672" max="7672" width="17.140625" style="495" customWidth="1"/>
    <col min="7673" max="7673" width="9.140625" style="495"/>
    <col min="7674" max="7674" width="22" style="495" customWidth="1"/>
    <col min="7675" max="7675" width="20.28515625" style="495" customWidth="1"/>
    <col min="7676" max="7676" width="14.85546875" style="495" customWidth="1"/>
    <col min="7677" max="7677" width="21.28515625" style="495" customWidth="1"/>
    <col min="7678" max="7920" width="9.140625" style="495"/>
    <col min="7921" max="7921" width="1.140625" style="495" customWidth="1"/>
    <col min="7922" max="7922" width="2.7109375" style="495" customWidth="1"/>
    <col min="7923" max="7923" width="40.42578125" style="495" customWidth="1"/>
    <col min="7924" max="7925" width="18.42578125" style="495" customWidth="1"/>
    <col min="7926" max="7926" width="18.85546875" style="495" customWidth="1"/>
    <col min="7927" max="7927" width="18.28515625" style="495" customWidth="1"/>
    <col min="7928" max="7928" width="17.140625" style="495" customWidth="1"/>
    <col min="7929" max="7929" width="9.140625" style="495"/>
    <col min="7930" max="7930" width="22" style="495" customWidth="1"/>
    <col min="7931" max="7931" width="20.28515625" style="495" customWidth="1"/>
    <col min="7932" max="7932" width="14.85546875" style="495" customWidth="1"/>
    <col min="7933" max="7933" width="21.28515625" style="495" customWidth="1"/>
    <col min="7934" max="8176" width="9.140625" style="495"/>
    <col min="8177" max="8177" width="1.140625" style="495" customWidth="1"/>
    <col min="8178" max="8178" width="2.7109375" style="495" customWidth="1"/>
    <col min="8179" max="8179" width="40.42578125" style="495" customWidth="1"/>
    <col min="8180" max="8181" width="18.42578125" style="495" customWidth="1"/>
    <col min="8182" max="8182" width="18.85546875" style="495" customWidth="1"/>
    <col min="8183" max="8183" width="18.28515625" style="495" customWidth="1"/>
    <col min="8184" max="8184" width="17.140625" style="495" customWidth="1"/>
    <col min="8185" max="8185" width="9.140625" style="495"/>
    <col min="8186" max="8186" width="22" style="495" customWidth="1"/>
    <col min="8187" max="8187" width="20.28515625" style="495" customWidth="1"/>
    <col min="8188" max="8188" width="14.85546875" style="495" customWidth="1"/>
    <col min="8189" max="8189" width="21.28515625" style="495" customWidth="1"/>
    <col min="8190" max="8432" width="9.140625" style="495"/>
    <col min="8433" max="8433" width="1.140625" style="495" customWidth="1"/>
    <col min="8434" max="8434" width="2.7109375" style="495" customWidth="1"/>
    <col min="8435" max="8435" width="40.42578125" style="495" customWidth="1"/>
    <col min="8436" max="8437" width="18.42578125" style="495" customWidth="1"/>
    <col min="8438" max="8438" width="18.85546875" style="495" customWidth="1"/>
    <col min="8439" max="8439" width="18.28515625" style="495" customWidth="1"/>
    <col min="8440" max="8440" width="17.140625" style="495" customWidth="1"/>
    <col min="8441" max="8441" width="9.140625" style="495"/>
    <col min="8442" max="8442" width="22" style="495" customWidth="1"/>
    <col min="8443" max="8443" width="20.28515625" style="495" customWidth="1"/>
    <col min="8444" max="8444" width="14.85546875" style="495" customWidth="1"/>
    <col min="8445" max="8445" width="21.28515625" style="495" customWidth="1"/>
    <col min="8446" max="8688" width="9.140625" style="495"/>
    <col min="8689" max="8689" width="1.140625" style="495" customWidth="1"/>
    <col min="8690" max="8690" width="2.7109375" style="495" customWidth="1"/>
    <col min="8691" max="8691" width="40.42578125" style="495" customWidth="1"/>
    <col min="8692" max="8693" width="18.42578125" style="495" customWidth="1"/>
    <col min="8694" max="8694" width="18.85546875" style="495" customWidth="1"/>
    <col min="8695" max="8695" width="18.28515625" style="495" customWidth="1"/>
    <col min="8696" max="8696" width="17.140625" style="495" customWidth="1"/>
    <col min="8697" max="8697" width="9.140625" style="495"/>
    <col min="8698" max="8698" width="22" style="495" customWidth="1"/>
    <col min="8699" max="8699" width="20.28515625" style="495" customWidth="1"/>
    <col min="8700" max="8700" width="14.85546875" style="495" customWidth="1"/>
    <col min="8701" max="8701" width="21.28515625" style="495" customWidth="1"/>
    <col min="8702" max="8944" width="9.140625" style="495"/>
    <col min="8945" max="8945" width="1.140625" style="495" customWidth="1"/>
    <col min="8946" max="8946" width="2.7109375" style="495" customWidth="1"/>
    <col min="8947" max="8947" width="40.42578125" style="495" customWidth="1"/>
    <col min="8948" max="8949" width="18.42578125" style="495" customWidth="1"/>
    <col min="8950" max="8950" width="18.85546875" style="495" customWidth="1"/>
    <col min="8951" max="8951" width="18.28515625" style="495" customWidth="1"/>
    <col min="8952" max="8952" width="17.140625" style="495" customWidth="1"/>
    <col min="8953" max="8953" width="9.140625" style="495"/>
    <col min="8954" max="8954" width="22" style="495" customWidth="1"/>
    <col min="8955" max="8955" width="20.28515625" style="495" customWidth="1"/>
    <col min="8956" max="8956" width="14.85546875" style="495" customWidth="1"/>
    <col min="8957" max="8957" width="21.28515625" style="495" customWidth="1"/>
    <col min="8958" max="9200" width="9.140625" style="495"/>
    <col min="9201" max="9201" width="1.140625" style="495" customWidth="1"/>
    <col min="9202" max="9202" width="2.7109375" style="495" customWidth="1"/>
    <col min="9203" max="9203" width="40.42578125" style="495" customWidth="1"/>
    <col min="9204" max="9205" width="18.42578125" style="495" customWidth="1"/>
    <col min="9206" max="9206" width="18.85546875" style="495" customWidth="1"/>
    <col min="9207" max="9207" width="18.28515625" style="495" customWidth="1"/>
    <col min="9208" max="9208" width="17.140625" style="495" customWidth="1"/>
    <col min="9209" max="9209" width="9.140625" style="495"/>
    <col min="9210" max="9210" width="22" style="495" customWidth="1"/>
    <col min="9211" max="9211" width="20.28515625" style="495" customWidth="1"/>
    <col min="9212" max="9212" width="14.85546875" style="495" customWidth="1"/>
    <col min="9213" max="9213" width="21.28515625" style="495" customWidth="1"/>
    <col min="9214" max="9456" width="9.140625" style="495"/>
    <col min="9457" max="9457" width="1.140625" style="495" customWidth="1"/>
    <col min="9458" max="9458" width="2.7109375" style="495" customWidth="1"/>
    <col min="9459" max="9459" width="40.42578125" style="495" customWidth="1"/>
    <col min="9460" max="9461" width="18.42578125" style="495" customWidth="1"/>
    <col min="9462" max="9462" width="18.85546875" style="495" customWidth="1"/>
    <col min="9463" max="9463" width="18.28515625" style="495" customWidth="1"/>
    <col min="9464" max="9464" width="17.140625" style="495" customWidth="1"/>
    <col min="9465" max="9465" width="9.140625" style="495"/>
    <col min="9466" max="9466" width="22" style="495" customWidth="1"/>
    <col min="9467" max="9467" width="20.28515625" style="495" customWidth="1"/>
    <col min="9468" max="9468" width="14.85546875" style="495" customWidth="1"/>
    <col min="9469" max="9469" width="21.28515625" style="495" customWidth="1"/>
    <col min="9470" max="9712" width="9.140625" style="495"/>
    <col min="9713" max="9713" width="1.140625" style="495" customWidth="1"/>
    <col min="9714" max="9714" width="2.7109375" style="495" customWidth="1"/>
    <col min="9715" max="9715" width="40.42578125" style="495" customWidth="1"/>
    <col min="9716" max="9717" width="18.42578125" style="495" customWidth="1"/>
    <col min="9718" max="9718" width="18.85546875" style="495" customWidth="1"/>
    <col min="9719" max="9719" width="18.28515625" style="495" customWidth="1"/>
    <col min="9720" max="9720" width="17.140625" style="495" customWidth="1"/>
    <col min="9721" max="9721" width="9.140625" style="495"/>
    <col min="9722" max="9722" width="22" style="495" customWidth="1"/>
    <col min="9723" max="9723" width="20.28515625" style="495" customWidth="1"/>
    <col min="9724" max="9724" width="14.85546875" style="495" customWidth="1"/>
    <col min="9725" max="9725" width="21.28515625" style="495" customWidth="1"/>
    <col min="9726" max="9968" width="9.140625" style="495"/>
    <col min="9969" max="9969" width="1.140625" style="495" customWidth="1"/>
    <col min="9970" max="9970" width="2.7109375" style="495" customWidth="1"/>
    <col min="9971" max="9971" width="40.42578125" style="495" customWidth="1"/>
    <col min="9972" max="9973" width="18.42578125" style="495" customWidth="1"/>
    <col min="9974" max="9974" width="18.85546875" style="495" customWidth="1"/>
    <col min="9975" max="9975" width="18.28515625" style="495" customWidth="1"/>
    <col min="9976" max="9976" width="17.140625" style="495" customWidth="1"/>
    <col min="9977" max="9977" width="9.140625" style="495"/>
    <col min="9978" max="9978" width="22" style="495" customWidth="1"/>
    <col min="9979" max="9979" width="20.28515625" style="495" customWidth="1"/>
    <col min="9980" max="9980" width="14.85546875" style="495" customWidth="1"/>
    <col min="9981" max="9981" width="21.28515625" style="495" customWidth="1"/>
    <col min="9982" max="10224" width="9.140625" style="495"/>
    <col min="10225" max="10225" width="1.140625" style="495" customWidth="1"/>
    <col min="10226" max="10226" width="2.7109375" style="495" customWidth="1"/>
    <col min="10227" max="10227" width="40.42578125" style="495" customWidth="1"/>
    <col min="10228" max="10229" width="18.42578125" style="495" customWidth="1"/>
    <col min="10230" max="10230" width="18.85546875" style="495" customWidth="1"/>
    <col min="10231" max="10231" width="18.28515625" style="495" customWidth="1"/>
    <col min="10232" max="10232" width="17.140625" style="495" customWidth="1"/>
    <col min="10233" max="10233" width="9.140625" style="495"/>
    <col min="10234" max="10234" width="22" style="495" customWidth="1"/>
    <col min="10235" max="10235" width="20.28515625" style="495" customWidth="1"/>
    <col min="10236" max="10236" width="14.85546875" style="495" customWidth="1"/>
    <col min="10237" max="10237" width="21.28515625" style="495" customWidth="1"/>
    <col min="10238" max="10480" width="9.140625" style="495"/>
    <col min="10481" max="10481" width="1.140625" style="495" customWidth="1"/>
    <col min="10482" max="10482" width="2.7109375" style="495" customWidth="1"/>
    <col min="10483" max="10483" width="40.42578125" style="495" customWidth="1"/>
    <col min="10484" max="10485" width="18.42578125" style="495" customWidth="1"/>
    <col min="10486" max="10486" width="18.85546875" style="495" customWidth="1"/>
    <col min="10487" max="10487" width="18.28515625" style="495" customWidth="1"/>
    <col min="10488" max="10488" width="17.140625" style="495" customWidth="1"/>
    <col min="10489" max="10489" width="9.140625" style="495"/>
    <col min="10490" max="10490" width="22" style="495" customWidth="1"/>
    <col min="10491" max="10491" width="20.28515625" style="495" customWidth="1"/>
    <col min="10492" max="10492" width="14.85546875" style="495" customWidth="1"/>
    <col min="10493" max="10493" width="21.28515625" style="495" customWidth="1"/>
    <col min="10494" max="10736" width="9.140625" style="495"/>
    <col min="10737" max="10737" width="1.140625" style="495" customWidth="1"/>
    <col min="10738" max="10738" width="2.7109375" style="495" customWidth="1"/>
    <col min="10739" max="10739" width="40.42578125" style="495" customWidth="1"/>
    <col min="10740" max="10741" width="18.42578125" style="495" customWidth="1"/>
    <col min="10742" max="10742" width="18.85546875" style="495" customWidth="1"/>
    <col min="10743" max="10743" width="18.28515625" style="495" customWidth="1"/>
    <col min="10744" max="10744" width="17.140625" style="495" customWidth="1"/>
    <col min="10745" max="10745" width="9.140625" style="495"/>
    <col min="10746" max="10746" width="22" style="495" customWidth="1"/>
    <col min="10747" max="10747" width="20.28515625" style="495" customWidth="1"/>
    <col min="10748" max="10748" width="14.85546875" style="495" customWidth="1"/>
    <col min="10749" max="10749" width="21.28515625" style="495" customWidth="1"/>
    <col min="10750" max="10992" width="9.140625" style="495"/>
    <col min="10993" max="10993" width="1.140625" style="495" customWidth="1"/>
    <col min="10994" max="10994" width="2.7109375" style="495" customWidth="1"/>
    <col min="10995" max="10995" width="40.42578125" style="495" customWidth="1"/>
    <col min="10996" max="10997" width="18.42578125" style="495" customWidth="1"/>
    <col min="10998" max="10998" width="18.85546875" style="495" customWidth="1"/>
    <col min="10999" max="10999" width="18.28515625" style="495" customWidth="1"/>
    <col min="11000" max="11000" width="17.140625" style="495" customWidth="1"/>
    <col min="11001" max="11001" width="9.140625" style="495"/>
    <col min="11002" max="11002" width="22" style="495" customWidth="1"/>
    <col min="11003" max="11003" width="20.28515625" style="495" customWidth="1"/>
    <col min="11004" max="11004" width="14.85546875" style="495" customWidth="1"/>
    <col min="11005" max="11005" width="21.28515625" style="495" customWidth="1"/>
    <col min="11006" max="11248" width="9.140625" style="495"/>
    <col min="11249" max="11249" width="1.140625" style="495" customWidth="1"/>
    <col min="11250" max="11250" width="2.7109375" style="495" customWidth="1"/>
    <col min="11251" max="11251" width="40.42578125" style="495" customWidth="1"/>
    <col min="11252" max="11253" width="18.42578125" style="495" customWidth="1"/>
    <col min="11254" max="11254" width="18.85546875" style="495" customWidth="1"/>
    <col min="11255" max="11255" width="18.28515625" style="495" customWidth="1"/>
    <col min="11256" max="11256" width="17.140625" style="495" customWidth="1"/>
    <col min="11257" max="11257" width="9.140625" style="495"/>
    <col min="11258" max="11258" width="22" style="495" customWidth="1"/>
    <col min="11259" max="11259" width="20.28515625" style="495" customWidth="1"/>
    <col min="11260" max="11260" width="14.85546875" style="495" customWidth="1"/>
    <col min="11261" max="11261" width="21.28515625" style="495" customWidth="1"/>
    <col min="11262" max="11504" width="9.140625" style="495"/>
    <col min="11505" max="11505" width="1.140625" style="495" customWidth="1"/>
    <col min="11506" max="11506" width="2.7109375" style="495" customWidth="1"/>
    <col min="11507" max="11507" width="40.42578125" style="495" customWidth="1"/>
    <col min="11508" max="11509" width="18.42578125" style="495" customWidth="1"/>
    <col min="11510" max="11510" width="18.85546875" style="495" customWidth="1"/>
    <col min="11511" max="11511" width="18.28515625" style="495" customWidth="1"/>
    <col min="11512" max="11512" width="17.140625" style="495" customWidth="1"/>
    <col min="11513" max="11513" width="9.140625" style="495"/>
    <col min="11514" max="11514" width="22" style="495" customWidth="1"/>
    <col min="11515" max="11515" width="20.28515625" style="495" customWidth="1"/>
    <col min="11516" max="11516" width="14.85546875" style="495" customWidth="1"/>
    <col min="11517" max="11517" width="21.28515625" style="495" customWidth="1"/>
    <col min="11518" max="11760" width="9.140625" style="495"/>
    <col min="11761" max="11761" width="1.140625" style="495" customWidth="1"/>
    <col min="11762" max="11762" width="2.7109375" style="495" customWidth="1"/>
    <col min="11763" max="11763" width="40.42578125" style="495" customWidth="1"/>
    <col min="11764" max="11765" width="18.42578125" style="495" customWidth="1"/>
    <col min="11766" max="11766" width="18.85546875" style="495" customWidth="1"/>
    <col min="11767" max="11767" width="18.28515625" style="495" customWidth="1"/>
    <col min="11768" max="11768" width="17.140625" style="495" customWidth="1"/>
    <col min="11769" max="11769" width="9.140625" style="495"/>
    <col min="11770" max="11770" width="22" style="495" customWidth="1"/>
    <col min="11771" max="11771" width="20.28515625" style="495" customWidth="1"/>
    <col min="11772" max="11772" width="14.85546875" style="495" customWidth="1"/>
    <col min="11773" max="11773" width="21.28515625" style="495" customWidth="1"/>
    <col min="11774" max="12016" width="9.140625" style="495"/>
    <col min="12017" max="12017" width="1.140625" style="495" customWidth="1"/>
    <col min="12018" max="12018" width="2.7109375" style="495" customWidth="1"/>
    <col min="12019" max="12019" width="40.42578125" style="495" customWidth="1"/>
    <col min="12020" max="12021" width="18.42578125" style="495" customWidth="1"/>
    <col min="12022" max="12022" width="18.85546875" style="495" customWidth="1"/>
    <col min="12023" max="12023" width="18.28515625" style="495" customWidth="1"/>
    <col min="12024" max="12024" width="17.140625" style="495" customWidth="1"/>
    <col min="12025" max="12025" width="9.140625" style="495"/>
    <col min="12026" max="12026" width="22" style="495" customWidth="1"/>
    <col min="12027" max="12027" width="20.28515625" style="495" customWidth="1"/>
    <col min="12028" max="12028" width="14.85546875" style="495" customWidth="1"/>
    <col min="12029" max="12029" width="21.28515625" style="495" customWidth="1"/>
    <col min="12030" max="12272" width="9.140625" style="495"/>
    <col min="12273" max="12273" width="1.140625" style="495" customWidth="1"/>
    <col min="12274" max="12274" width="2.7109375" style="495" customWidth="1"/>
    <col min="12275" max="12275" width="40.42578125" style="495" customWidth="1"/>
    <col min="12276" max="12277" width="18.42578125" style="495" customWidth="1"/>
    <col min="12278" max="12278" width="18.85546875" style="495" customWidth="1"/>
    <col min="12279" max="12279" width="18.28515625" style="495" customWidth="1"/>
    <col min="12280" max="12280" width="17.140625" style="495" customWidth="1"/>
    <col min="12281" max="12281" width="9.140625" style="495"/>
    <col min="12282" max="12282" width="22" style="495" customWidth="1"/>
    <col min="12283" max="12283" width="20.28515625" style="495" customWidth="1"/>
    <col min="12284" max="12284" width="14.85546875" style="495" customWidth="1"/>
    <col min="12285" max="12285" width="21.28515625" style="495" customWidth="1"/>
    <col min="12286" max="12528" width="9.140625" style="495"/>
    <col min="12529" max="12529" width="1.140625" style="495" customWidth="1"/>
    <col min="12530" max="12530" width="2.7109375" style="495" customWidth="1"/>
    <col min="12531" max="12531" width="40.42578125" style="495" customWidth="1"/>
    <col min="12532" max="12533" width="18.42578125" style="495" customWidth="1"/>
    <col min="12534" max="12534" width="18.85546875" style="495" customWidth="1"/>
    <col min="12535" max="12535" width="18.28515625" style="495" customWidth="1"/>
    <col min="12536" max="12536" width="17.140625" style="495" customWidth="1"/>
    <col min="12537" max="12537" width="9.140625" style="495"/>
    <col min="12538" max="12538" width="22" style="495" customWidth="1"/>
    <col min="12539" max="12539" width="20.28515625" style="495" customWidth="1"/>
    <col min="12540" max="12540" width="14.85546875" style="495" customWidth="1"/>
    <col min="12541" max="12541" width="21.28515625" style="495" customWidth="1"/>
    <col min="12542" max="12784" width="9.140625" style="495"/>
    <col min="12785" max="12785" width="1.140625" style="495" customWidth="1"/>
    <col min="12786" max="12786" width="2.7109375" style="495" customWidth="1"/>
    <col min="12787" max="12787" width="40.42578125" style="495" customWidth="1"/>
    <col min="12788" max="12789" width="18.42578125" style="495" customWidth="1"/>
    <col min="12790" max="12790" width="18.85546875" style="495" customWidth="1"/>
    <col min="12791" max="12791" width="18.28515625" style="495" customWidth="1"/>
    <col min="12792" max="12792" width="17.140625" style="495" customWidth="1"/>
    <col min="12793" max="12793" width="9.140625" style="495"/>
    <col min="12794" max="12794" width="22" style="495" customWidth="1"/>
    <col min="12795" max="12795" width="20.28515625" style="495" customWidth="1"/>
    <col min="12796" max="12796" width="14.85546875" style="495" customWidth="1"/>
    <col min="12797" max="12797" width="21.28515625" style="495" customWidth="1"/>
    <col min="12798" max="13040" width="9.140625" style="495"/>
    <col min="13041" max="13041" width="1.140625" style="495" customWidth="1"/>
    <col min="13042" max="13042" width="2.7109375" style="495" customWidth="1"/>
    <col min="13043" max="13043" width="40.42578125" style="495" customWidth="1"/>
    <col min="13044" max="13045" width="18.42578125" style="495" customWidth="1"/>
    <col min="13046" max="13046" width="18.85546875" style="495" customWidth="1"/>
    <col min="13047" max="13047" width="18.28515625" style="495" customWidth="1"/>
    <col min="13048" max="13048" width="17.140625" style="495" customWidth="1"/>
    <col min="13049" max="13049" width="9.140625" style="495"/>
    <col min="13050" max="13050" width="22" style="495" customWidth="1"/>
    <col min="13051" max="13051" width="20.28515625" style="495" customWidth="1"/>
    <col min="13052" max="13052" width="14.85546875" style="495" customWidth="1"/>
    <col min="13053" max="13053" width="21.28515625" style="495" customWidth="1"/>
    <col min="13054" max="13296" width="9.140625" style="495"/>
    <col min="13297" max="13297" width="1.140625" style="495" customWidth="1"/>
    <col min="13298" max="13298" width="2.7109375" style="495" customWidth="1"/>
    <col min="13299" max="13299" width="40.42578125" style="495" customWidth="1"/>
    <col min="13300" max="13301" width="18.42578125" style="495" customWidth="1"/>
    <col min="13302" max="13302" width="18.85546875" style="495" customWidth="1"/>
    <col min="13303" max="13303" width="18.28515625" style="495" customWidth="1"/>
    <col min="13304" max="13304" width="17.140625" style="495" customWidth="1"/>
    <col min="13305" max="13305" width="9.140625" style="495"/>
    <col min="13306" max="13306" width="22" style="495" customWidth="1"/>
    <col min="13307" max="13307" width="20.28515625" style="495" customWidth="1"/>
    <col min="13308" max="13308" width="14.85546875" style="495" customWidth="1"/>
    <col min="13309" max="13309" width="21.28515625" style="495" customWidth="1"/>
    <col min="13310" max="13552" width="9.140625" style="495"/>
    <col min="13553" max="13553" width="1.140625" style="495" customWidth="1"/>
    <col min="13554" max="13554" width="2.7109375" style="495" customWidth="1"/>
    <col min="13555" max="13555" width="40.42578125" style="495" customWidth="1"/>
    <col min="13556" max="13557" width="18.42578125" style="495" customWidth="1"/>
    <col min="13558" max="13558" width="18.85546875" style="495" customWidth="1"/>
    <col min="13559" max="13559" width="18.28515625" style="495" customWidth="1"/>
    <col min="13560" max="13560" width="17.140625" style="495" customWidth="1"/>
    <col min="13561" max="13561" width="9.140625" style="495"/>
    <col min="13562" max="13562" width="22" style="495" customWidth="1"/>
    <col min="13563" max="13563" width="20.28515625" style="495" customWidth="1"/>
    <col min="13564" max="13564" width="14.85546875" style="495" customWidth="1"/>
    <col min="13565" max="13565" width="21.28515625" style="495" customWidth="1"/>
    <col min="13566" max="13808" width="9.140625" style="495"/>
    <col min="13809" max="13809" width="1.140625" style="495" customWidth="1"/>
    <col min="13810" max="13810" width="2.7109375" style="495" customWidth="1"/>
    <col min="13811" max="13811" width="40.42578125" style="495" customWidth="1"/>
    <col min="13812" max="13813" width="18.42578125" style="495" customWidth="1"/>
    <col min="13814" max="13814" width="18.85546875" style="495" customWidth="1"/>
    <col min="13815" max="13815" width="18.28515625" style="495" customWidth="1"/>
    <col min="13816" max="13816" width="17.140625" style="495" customWidth="1"/>
    <col min="13817" max="13817" width="9.140625" style="495"/>
    <col min="13818" max="13818" width="22" style="495" customWidth="1"/>
    <col min="13819" max="13819" width="20.28515625" style="495" customWidth="1"/>
    <col min="13820" max="13820" width="14.85546875" style="495" customWidth="1"/>
    <col min="13821" max="13821" width="21.28515625" style="495" customWidth="1"/>
    <col min="13822" max="14064" width="9.140625" style="495"/>
    <col min="14065" max="14065" width="1.140625" style="495" customWidth="1"/>
    <col min="14066" max="14066" width="2.7109375" style="495" customWidth="1"/>
    <col min="14067" max="14067" width="40.42578125" style="495" customWidth="1"/>
    <col min="14068" max="14069" width="18.42578125" style="495" customWidth="1"/>
    <col min="14070" max="14070" width="18.85546875" style="495" customWidth="1"/>
    <col min="14071" max="14071" width="18.28515625" style="495" customWidth="1"/>
    <col min="14072" max="14072" width="17.140625" style="495" customWidth="1"/>
    <col min="14073" max="14073" width="9.140625" style="495"/>
    <col min="14074" max="14074" width="22" style="495" customWidth="1"/>
    <col min="14075" max="14075" width="20.28515625" style="495" customWidth="1"/>
    <col min="14076" max="14076" width="14.85546875" style="495" customWidth="1"/>
    <col min="14077" max="14077" width="21.28515625" style="495" customWidth="1"/>
    <col min="14078" max="14320" width="9.140625" style="495"/>
    <col min="14321" max="14321" width="1.140625" style="495" customWidth="1"/>
    <col min="14322" max="14322" width="2.7109375" style="495" customWidth="1"/>
    <col min="14323" max="14323" width="40.42578125" style="495" customWidth="1"/>
    <col min="14324" max="14325" width="18.42578125" style="495" customWidth="1"/>
    <col min="14326" max="14326" width="18.85546875" style="495" customWidth="1"/>
    <col min="14327" max="14327" width="18.28515625" style="495" customWidth="1"/>
    <col min="14328" max="14328" width="17.140625" style="495" customWidth="1"/>
    <col min="14329" max="14329" width="9.140625" style="495"/>
    <col min="14330" max="14330" width="22" style="495" customWidth="1"/>
    <col min="14331" max="14331" width="20.28515625" style="495" customWidth="1"/>
    <col min="14332" max="14332" width="14.85546875" style="495" customWidth="1"/>
    <col min="14333" max="14333" width="21.28515625" style="495" customWidth="1"/>
    <col min="14334" max="14576" width="9.140625" style="495"/>
    <col min="14577" max="14577" width="1.140625" style="495" customWidth="1"/>
    <col min="14578" max="14578" width="2.7109375" style="495" customWidth="1"/>
    <col min="14579" max="14579" width="40.42578125" style="495" customWidth="1"/>
    <col min="14580" max="14581" width="18.42578125" style="495" customWidth="1"/>
    <col min="14582" max="14582" width="18.85546875" style="495" customWidth="1"/>
    <col min="14583" max="14583" width="18.28515625" style="495" customWidth="1"/>
    <col min="14584" max="14584" width="17.140625" style="495" customWidth="1"/>
    <col min="14585" max="14585" width="9.140625" style="495"/>
    <col min="14586" max="14586" width="22" style="495" customWidth="1"/>
    <col min="14587" max="14587" width="20.28515625" style="495" customWidth="1"/>
    <col min="14588" max="14588" width="14.85546875" style="495" customWidth="1"/>
    <col min="14589" max="14589" width="21.28515625" style="495" customWidth="1"/>
    <col min="14590" max="14832" width="9.140625" style="495"/>
    <col min="14833" max="14833" width="1.140625" style="495" customWidth="1"/>
    <col min="14834" max="14834" width="2.7109375" style="495" customWidth="1"/>
    <col min="14835" max="14835" width="40.42578125" style="495" customWidth="1"/>
    <col min="14836" max="14837" width="18.42578125" style="495" customWidth="1"/>
    <col min="14838" max="14838" width="18.85546875" style="495" customWidth="1"/>
    <col min="14839" max="14839" width="18.28515625" style="495" customWidth="1"/>
    <col min="14840" max="14840" width="17.140625" style="495" customWidth="1"/>
    <col min="14841" max="14841" width="9.140625" style="495"/>
    <col min="14842" max="14842" width="22" style="495" customWidth="1"/>
    <col min="14843" max="14843" width="20.28515625" style="495" customWidth="1"/>
    <col min="14844" max="14844" width="14.85546875" style="495" customWidth="1"/>
    <col min="14845" max="14845" width="21.28515625" style="495" customWidth="1"/>
    <col min="14846" max="15088" width="9.140625" style="495"/>
    <col min="15089" max="15089" width="1.140625" style="495" customWidth="1"/>
    <col min="15090" max="15090" width="2.7109375" style="495" customWidth="1"/>
    <col min="15091" max="15091" width="40.42578125" style="495" customWidth="1"/>
    <col min="15092" max="15093" width="18.42578125" style="495" customWidth="1"/>
    <col min="15094" max="15094" width="18.85546875" style="495" customWidth="1"/>
    <col min="15095" max="15095" width="18.28515625" style="495" customWidth="1"/>
    <col min="15096" max="15096" width="17.140625" style="495" customWidth="1"/>
    <col min="15097" max="15097" width="9.140625" style="495"/>
    <col min="15098" max="15098" width="22" style="495" customWidth="1"/>
    <col min="15099" max="15099" width="20.28515625" style="495" customWidth="1"/>
    <col min="15100" max="15100" width="14.85546875" style="495" customWidth="1"/>
    <col min="15101" max="15101" width="21.28515625" style="495" customWidth="1"/>
    <col min="15102" max="15344" width="9.140625" style="495"/>
    <col min="15345" max="15345" width="1.140625" style="495" customWidth="1"/>
    <col min="15346" max="15346" width="2.7109375" style="495" customWidth="1"/>
    <col min="15347" max="15347" width="40.42578125" style="495" customWidth="1"/>
    <col min="15348" max="15349" width="18.42578125" style="495" customWidth="1"/>
    <col min="15350" max="15350" width="18.85546875" style="495" customWidth="1"/>
    <col min="15351" max="15351" width="18.28515625" style="495" customWidth="1"/>
    <col min="15352" max="15352" width="17.140625" style="495" customWidth="1"/>
    <col min="15353" max="15353" width="9.140625" style="495"/>
    <col min="15354" max="15354" width="22" style="495" customWidth="1"/>
    <col min="15355" max="15355" width="20.28515625" style="495" customWidth="1"/>
    <col min="15356" max="15356" width="14.85546875" style="495" customWidth="1"/>
    <col min="15357" max="15357" width="21.28515625" style="495" customWidth="1"/>
    <col min="15358" max="15600" width="9.140625" style="495"/>
    <col min="15601" max="15601" width="1.140625" style="495" customWidth="1"/>
    <col min="15602" max="15602" width="2.7109375" style="495" customWidth="1"/>
    <col min="15603" max="15603" width="40.42578125" style="495" customWidth="1"/>
    <col min="15604" max="15605" width="18.42578125" style="495" customWidth="1"/>
    <col min="15606" max="15606" width="18.85546875" style="495" customWidth="1"/>
    <col min="15607" max="15607" width="18.28515625" style="495" customWidth="1"/>
    <col min="15608" max="15608" width="17.140625" style="495" customWidth="1"/>
    <col min="15609" max="15609" width="9.140625" style="495"/>
    <col min="15610" max="15610" width="22" style="495" customWidth="1"/>
    <col min="15611" max="15611" width="20.28515625" style="495" customWidth="1"/>
    <col min="15612" max="15612" width="14.85546875" style="495" customWidth="1"/>
    <col min="15613" max="15613" width="21.28515625" style="495" customWidth="1"/>
    <col min="15614" max="15856" width="9.140625" style="495"/>
    <col min="15857" max="15857" width="1.140625" style="495" customWidth="1"/>
    <col min="15858" max="15858" width="2.7109375" style="495" customWidth="1"/>
    <col min="15859" max="15859" width="40.42578125" style="495" customWidth="1"/>
    <col min="15860" max="15861" width="18.42578125" style="495" customWidth="1"/>
    <col min="15862" max="15862" width="18.85546875" style="495" customWidth="1"/>
    <col min="15863" max="15863" width="18.28515625" style="495" customWidth="1"/>
    <col min="15864" max="15864" width="17.140625" style="495" customWidth="1"/>
    <col min="15865" max="15865" width="9.140625" style="495"/>
    <col min="15866" max="15866" width="22" style="495" customWidth="1"/>
    <col min="15867" max="15867" width="20.28515625" style="495" customWidth="1"/>
    <col min="15868" max="15868" width="14.85546875" style="495" customWidth="1"/>
    <col min="15869" max="15869" width="21.28515625" style="495" customWidth="1"/>
    <col min="15870" max="16112" width="9.140625" style="495"/>
    <col min="16113" max="16113" width="1.140625" style="495" customWidth="1"/>
    <col min="16114" max="16114" width="2.7109375" style="495" customWidth="1"/>
    <col min="16115" max="16115" width="40.42578125" style="495" customWidth="1"/>
    <col min="16116" max="16117" width="18.42578125" style="495" customWidth="1"/>
    <col min="16118" max="16118" width="18.85546875" style="495" customWidth="1"/>
    <col min="16119" max="16119" width="18.28515625" style="495" customWidth="1"/>
    <col min="16120" max="16120" width="17.140625" style="495" customWidth="1"/>
    <col min="16121" max="16121" width="9.140625" style="495"/>
    <col min="16122" max="16122" width="22" style="495" customWidth="1"/>
    <col min="16123" max="16123" width="20.28515625" style="495" customWidth="1"/>
    <col min="16124" max="16124" width="14.85546875" style="495" customWidth="1"/>
    <col min="16125" max="16125" width="21.28515625" style="495" customWidth="1"/>
    <col min="16126" max="16384" width="9.140625" style="495"/>
  </cols>
  <sheetData>
    <row r="1" spans="1:14" ht="13.5" thickBot="1">
      <c r="C1" s="751" t="s">
        <v>69</v>
      </c>
      <c r="D1" s="752"/>
      <c r="E1" s="752"/>
      <c r="F1" s="752"/>
      <c r="G1" s="752"/>
      <c r="H1" s="752"/>
      <c r="I1" s="752"/>
      <c r="J1" s="752"/>
      <c r="K1" s="752"/>
      <c r="L1" s="752"/>
      <c r="M1" s="752"/>
      <c r="N1" s="752"/>
    </row>
    <row r="2" spans="1:14" ht="13.5" thickTop="1">
      <c r="C2" s="753" t="s">
        <v>70</v>
      </c>
      <c r="D2" s="754"/>
      <c r="E2" s="754"/>
      <c r="F2" s="754"/>
      <c r="G2" s="754"/>
      <c r="H2" s="754"/>
      <c r="I2" s="754"/>
      <c r="J2" s="754"/>
      <c r="K2" s="754"/>
      <c r="L2" s="754"/>
      <c r="M2" s="754"/>
      <c r="N2" s="754"/>
    </row>
    <row r="3" spans="1:14" ht="12.95">
      <c r="C3" s="755" t="s">
        <v>71</v>
      </c>
      <c r="D3" s="756"/>
      <c r="E3" s="756"/>
      <c r="F3" s="757"/>
      <c r="G3" s="757"/>
      <c r="H3" s="757"/>
      <c r="I3" s="757"/>
      <c r="J3" s="757"/>
      <c r="K3" s="757"/>
      <c r="L3" s="756"/>
      <c r="M3" s="756"/>
      <c r="N3" s="756"/>
    </row>
    <row r="4" spans="1:14" ht="12.95">
      <c r="C4" s="669"/>
      <c r="D4" s="670"/>
      <c r="E4" s="670"/>
      <c r="F4" s="670"/>
      <c r="G4" s="670"/>
      <c r="H4" s="670"/>
      <c r="I4" s="670"/>
      <c r="J4" s="670"/>
      <c r="K4" s="631"/>
      <c r="L4" s="670"/>
      <c r="M4" s="670"/>
      <c r="N4" s="670"/>
    </row>
    <row r="5" spans="1:14" ht="12" customHeight="1">
      <c r="C5" s="496"/>
      <c r="F5" s="497" t="s">
        <v>18</v>
      </c>
      <c r="G5" s="498" t="s">
        <v>5</v>
      </c>
      <c r="H5" s="498" t="s">
        <v>4</v>
      </c>
      <c r="I5" s="687" t="s">
        <v>9</v>
      </c>
      <c r="J5" s="498" t="s">
        <v>8</v>
      </c>
      <c r="K5" s="498" t="s">
        <v>72</v>
      </c>
      <c r="L5" s="499"/>
      <c r="M5" s="500" t="s">
        <v>73</v>
      </c>
    </row>
    <row r="6" spans="1:14" ht="12" customHeight="1">
      <c r="C6" s="496"/>
      <c r="F6" s="501" t="s">
        <v>74</v>
      </c>
      <c r="G6" s="373" t="s">
        <v>9</v>
      </c>
      <c r="H6" s="373" t="s">
        <v>8</v>
      </c>
      <c r="I6" s="688" t="s">
        <v>12</v>
      </c>
      <c r="J6" s="502" t="s">
        <v>13</v>
      </c>
      <c r="K6" s="373" t="s">
        <v>75</v>
      </c>
      <c r="L6" s="503"/>
      <c r="M6" s="500" t="s">
        <v>76</v>
      </c>
    </row>
    <row r="7" spans="1:14" ht="12" customHeight="1">
      <c r="C7" s="496"/>
      <c r="F7" s="232" t="s">
        <v>18</v>
      </c>
      <c r="G7" s="374" t="s">
        <v>10</v>
      </c>
      <c r="H7" s="502" t="s">
        <v>11</v>
      </c>
      <c r="I7" s="688" t="s">
        <v>77</v>
      </c>
      <c r="J7" s="502" t="s">
        <v>78</v>
      </c>
      <c r="K7" s="502" t="s">
        <v>76</v>
      </c>
      <c r="L7" s="499"/>
      <c r="M7" s="500" t="s">
        <v>79</v>
      </c>
    </row>
    <row r="8" spans="1:14" ht="12" customHeight="1">
      <c r="C8" s="496"/>
      <c r="F8" s="671"/>
      <c r="G8" s="672" t="s">
        <v>80</v>
      </c>
      <c r="H8" s="673" t="s">
        <v>81</v>
      </c>
      <c r="I8" s="689" t="s">
        <v>82</v>
      </c>
      <c r="J8" s="674"/>
      <c r="K8" s="673" t="s">
        <v>83</v>
      </c>
      <c r="L8" s="504"/>
      <c r="M8" s="500"/>
    </row>
    <row r="9" spans="1:14" ht="12" hidden="1" customHeight="1">
      <c r="C9" s="505"/>
      <c r="D9" s="506"/>
      <c r="E9" s="506"/>
      <c r="F9" s="507"/>
      <c r="G9" s="375"/>
      <c r="H9" s="712"/>
      <c r="I9" s="690"/>
      <c r="J9" s="675" t="s">
        <v>18</v>
      </c>
      <c r="K9" s="508"/>
      <c r="L9" s="509"/>
      <c r="M9" s="510"/>
    </row>
    <row r="10" spans="1:14">
      <c r="C10" s="494" t="s">
        <v>84</v>
      </c>
      <c r="D10" s="494" t="s">
        <v>85</v>
      </c>
      <c r="E10" s="494" t="s">
        <v>86</v>
      </c>
      <c r="F10" s="497"/>
      <c r="G10" s="376" t="s">
        <v>87</v>
      </c>
      <c r="H10" s="511" t="s">
        <v>87</v>
      </c>
      <c r="I10" s="691" t="s">
        <v>87</v>
      </c>
      <c r="J10" s="511" t="s">
        <v>87</v>
      </c>
      <c r="K10" s="511" t="s">
        <v>87</v>
      </c>
      <c r="L10" s="504"/>
      <c r="M10" s="512"/>
    </row>
    <row r="11" spans="1:14" ht="12.95">
      <c r="F11" s="513" t="s">
        <v>88</v>
      </c>
      <c r="G11" s="645"/>
      <c r="H11" s="646"/>
      <c r="I11" s="692"/>
      <c r="J11" s="676"/>
      <c r="K11" s="646"/>
      <c r="L11" s="504"/>
      <c r="M11" s="512"/>
    </row>
    <row r="12" spans="1:14" ht="14.45">
      <c r="A12" s="493">
        <v>20012</v>
      </c>
      <c r="B12" s="514" t="s">
        <v>89</v>
      </c>
      <c r="C12" s="494">
        <v>11</v>
      </c>
      <c r="D12" s="514" t="s">
        <v>90</v>
      </c>
      <c r="E12" s="514" t="s">
        <v>91</v>
      </c>
      <c r="F12" s="232" t="s">
        <v>92</v>
      </c>
      <c r="G12" s="647">
        <f>'[1]March 2022'!$E$8</f>
        <v>52169363366.626007</v>
      </c>
      <c r="H12" s="648">
        <v>59246035025</v>
      </c>
      <c r="I12" s="693">
        <v>45778117702.940002</v>
      </c>
      <c r="J12" s="648">
        <v>63514530000</v>
      </c>
      <c r="K12" s="647">
        <f>J12-H12</f>
        <v>4268494975</v>
      </c>
      <c r="L12" s="515"/>
      <c r="M12" s="515" t="s">
        <v>87</v>
      </c>
      <c r="N12" s="231"/>
    </row>
    <row r="13" spans="1:14" ht="14.45">
      <c r="A13" s="493">
        <v>20056</v>
      </c>
      <c r="B13" s="514" t="s">
        <v>89</v>
      </c>
      <c r="C13" s="494">
        <v>11</v>
      </c>
      <c r="D13" s="514" t="s">
        <v>91</v>
      </c>
      <c r="E13" s="514" t="s">
        <v>91</v>
      </c>
      <c r="F13" s="232" t="s">
        <v>93</v>
      </c>
      <c r="G13" s="648">
        <v>90006019433.710007</v>
      </c>
      <c r="H13" s="647">
        <v>77522678567</v>
      </c>
      <c r="I13" s="693">
        <v>39259515566.169998</v>
      </c>
      <c r="J13" s="648">
        <v>97019483421.270004</v>
      </c>
      <c r="K13" s="647">
        <f t="shared" ref="K13:K42" si="0">J13-H13</f>
        <v>19496804854.270004</v>
      </c>
      <c r="L13" s="230"/>
      <c r="M13" s="230"/>
      <c r="N13" s="231"/>
    </row>
    <row r="14" spans="1:14" ht="14.45">
      <c r="A14" s="493">
        <v>20056</v>
      </c>
      <c r="B14" s="514" t="s">
        <v>89</v>
      </c>
      <c r="C14" s="494">
        <v>11</v>
      </c>
      <c r="D14" s="514" t="s">
        <v>91</v>
      </c>
      <c r="E14" s="514" t="s">
        <v>94</v>
      </c>
      <c r="F14" s="232" t="s">
        <v>95</v>
      </c>
      <c r="G14" s="648">
        <v>98860019433.710007</v>
      </c>
      <c r="H14" s="647">
        <v>88989286500</v>
      </c>
      <c r="I14" s="693">
        <v>70035062250.839996</v>
      </c>
      <c r="J14" s="648">
        <f>115971517645.26+8241828858.87</f>
        <v>124213346504.12999</v>
      </c>
      <c r="K14" s="647">
        <f t="shared" si="0"/>
        <v>35224060004.12999</v>
      </c>
      <c r="L14" s="230"/>
      <c r="M14" s="230"/>
      <c r="N14" s="231"/>
    </row>
    <row r="15" spans="1:14" ht="14.45">
      <c r="A15" s="493">
        <v>20056</v>
      </c>
      <c r="B15" s="514" t="s">
        <v>89</v>
      </c>
      <c r="C15" s="494">
        <v>11</v>
      </c>
      <c r="D15" s="514" t="s">
        <v>94</v>
      </c>
      <c r="E15" s="514" t="s">
        <v>91</v>
      </c>
      <c r="F15" s="232" t="s">
        <v>96</v>
      </c>
      <c r="G15" s="648">
        <v>386000434</v>
      </c>
      <c r="H15" s="647">
        <v>23078832000</v>
      </c>
      <c r="I15" s="693">
        <v>21308214589</v>
      </c>
      <c r="J15" s="648">
        <f>26329415116.34+4267376627.07</f>
        <v>30596791743.41</v>
      </c>
      <c r="K15" s="647">
        <f t="shared" si="0"/>
        <v>7517959743.4099998</v>
      </c>
      <c r="L15" s="230"/>
      <c r="M15" s="230"/>
      <c r="N15" s="231"/>
    </row>
    <row r="16" spans="1:14" ht="14.45">
      <c r="A16" s="493">
        <v>20012</v>
      </c>
      <c r="B16" s="514" t="s">
        <v>89</v>
      </c>
      <c r="C16" s="494">
        <v>11</v>
      </c>
      <c r="D16" s="514">
        <v>19</v>
      </c>
      <c r="E16" s="514" t="s">
        <v>91</v>
      </c>
      <c r="F16" s="232" t="s">
        <v>97</v>
      </c>
      <c r="G16" s="648">
        <f>5007197048.04</f>
        <v>5007197048.04</v>
      </c>
      <c r="H16" s="647">
        <v>6490290800</v>
      </c>
      <c r="I16" s="693">
        <v>3144115222.4199996</v>
      </c>
      <c r="J16" s="648">
        <v>8655713729.0100002</v>
      </c>
      <c r="K16" s="647">
        <f t="shared" si="0"/>
        <v>2165422929.0100002</v>
      </c>
      <c r="L16" s="230"/>
      <c r="M16" s="230"/>
      <c r="N16" s="231"/>
    </row>
    <row r="17" spans="1:14" ht="14.45">
      <c r="A17" s="493">
        <v>20056</v>
      </c>
      <c r="B17" s="514" t="s">
        <v>89</v>
      </c>
      <c r="C17" s="494">
        <v>11</v>
      </c>
      <c r="D17" s="494">
        <v>19</v>
      </c>
      <c r="E17" s="514" t="s">
        <v>91</v>
      </c>
      <c r="F17" s="232" t="s">
        <v>98</v>
      </c>
      <c r="G17" s="648">
        <v>4400000000</v>
      </c>
      <c r="H17" s="647">
        <v>3591424675</v>
      </c>
      <c r="I17" s="693">
        <v>5605935455.4499998</v>
      </c>
      <c r="J17" s="648">
        <v>4418400000</v>
      </c>
      <c r="K17" s="647">
        <f t="shared" si="0"/>
        <v>826975325</v>
      </c>
      <c r="L17" s="230"/>
      <c r="M17" s="230"/>
      <c r="N17" s="231"/>
    </row>
    <row r="18" spans="1:14" ht="14.45">
      <c r="A18" s="493">
        <v>20056</v>
      </c>
      <c r="B18" s="514" t="s">
        <v>89</v>
      </c>
      <c r="C18" s="494">
        <v>11</v>
      </c>
      <c r="D18" s="494">
        <v>25</v>
      </c>
      <c r="E18" s="514" t="s">
        <v>91</v>
      </c>
      <c r="F18" s="232" t="s">
        <v>99</v>
      </c>
      <c r="G18" s="648">
        <v>5306224456.0200005</v>
      </c>
      <c r="H18" s="647">
        <v>5132047500</v>
      </c>
      <c r="I18" s="693">
        <v>4333301617</v>
      </c>
      <c r="J18" s="648">
        <v>5891877907.7299995</v>
      </c>
      <c r="K18" s="647">
        <f t="shared" si="0"/>
        <v>759830407.72999954</v>
      </c>
      <c r="L18" s="230">
        <v>29512468806.279999</v>
      </c>
      <c r="M18" s="230"/>
      <c r="N18" s="231"/>
    </row>
    <row r="19" spans="1:14" ht="14.45">
      <c r="A19" s="493">
        <v>20012</v>
      </c>
      <c r="B19" s="514" t="s">
        <v>89</v>
      </c>
      <c r="C19" s="494">
        <v>11</v>
      </c>
      <c r="D19" s="494">
        <v>30</v>
      </c>
      <c r="E19" s="514" t="s">
        <v>100</v>
      </c>
      <c r="F19" s="232" t="s">
        <v>101</v>
      </c>
      <c r="G19" s="713">
        <v>1131964.329168773</v>
      </c>
      <c r="H19" s="647">
        <v>2866368.99</v>
      </c>
      <c r="I19" s="693">
        <v>831500</v>
      </c>
      <c r="J19" s="648">
        <v>2350928.4900000002</v>
      </c>
      <c r="K19" s="647">
        <f t="shared" si="0"/>
        <v>-515440.5</v>
      </c>
      <c r="L19" s="230">
        <v>8369141.7599999998</v>
      </c>
      <c r="M19" s="230" t="e">
        <f>#REF!-#REF!</f>
        <v>#REF!</v>
      </c>
      <c r="N19" s="231"/>
    </row>
    <row r="20" spans="1:14" ht="14.45">
      <c r="A20" s="493">
        <v>20056</v>
      </c>
      <c r="B20" s="514" t="s">
        <v>89</v>
      </c>
      <c r="C20" s="494">
        <v>11</v>
      </c>
      <c r="D20" s="494">
        <v>30</v>
      </c>
      <c r="E20" s="514" t="s">
        <v>102</v>
      </c>
      <c r="F20" s="232" t="s">
        <v>103</v>
      </c>
      <c r="G20" s="713">
        <v>502821741.57547498</v>
      </c>
      <c r="H20" s="647">
        <v>1273249173.2</v>
      </c>
      <c r="I20" s="693">
        <v>361289911</v>
      </c>
      <c r="J20" s="648">
        <v>1044289050.66</v>
      </c>
      <c r="K20" s="647">
        <f t="shared" si="0"/>
        <v>-228960122.54000008</v>
      </c>
      <c r="L20" s="230"/>
      <c r="M20" s="230"/>
      <c r="N20" s="231"/>
    </row>
    <row r="21" spans="1:14" ht="14.45">
      <c r="A21" s="493">
        <v>20056</v>
      </c>
      <c r="B21" s="514" t="s">
        <v>89</v>
      </c>
      <c r="C21" s="494">
        <v>11</v>
      </c>
      <c r="D21" s="494">
        <v>30</v>
      </c>
      <c r="E21" s="514" t="s">
        <v>104</v>
      </c>
      <c r="F21" s="232" t="s">
        <v>105</v>
      </c>
      <c r="G21" s="713">
        <v>15322359.644359946</v>
      </c>
      <c r="H21" s="647">
        <v>38799399.740000002</v>
      </c>
      <c r="I21" s="693">
        <v>9103805.1699999999</v>
      </c>
      <c r="J21" s="648">
        <v>31822355.890000001</v>
      </c>
      <c r="K21" s="647">
        <f t="shared" si="0"/>
        <v>-6977043.8500000015</v>
      </c>
      <c r="L21" s="230">
        <v>29520837948.039997</v>
      </c>
      <c r="M21" s="230" t="e">
        <f>SUM(M18:M19)</f>
        <v>#REF!</v>
      </c>
      <c r="N21" s="231"/>
    </row>
    <row r="22" spans="1:14" ht="14.45">
      <c r="A22" s="493">
        <v>20056</v>
      </c>
      <c r="B22" s="514" t="s">
        <v>89</v>
      </c>
      <c r="C22" s="494">
        <v>11</v>
      </c>
      <c r="D22" s="494">
        <v>30</v>
      </c>
      <c r="E22" s="514" t="s">
        <v>106</v>
      </c>
      <c r="F22" s="232" t="s">
        <v>107</v>
      </c>
      <c r="G22" s="713">
        <v>25119672.531353999</v>
      </c>
      <c r="H22" s="647">
        <v>63608232.57</v>
      </c>
      <c r="I22" s="693">
        <v>11708656.329999998</v>
      </c>
      <c r="J22" s="648">
        <v>52169977.57</v>
      </c>
      <c r="K22" s="647">
        <f t="shared" si="0"/>
        <v>-11438255</v>
      </c>
      <c r="L22" s="230"/>
      <c r="M22" s="230"/>
      <c r="N22" s="231"/>
    </row>
    <row r="23" spans="1:14" ht="14.45">
      <c r="A23" s="493">
        <v>20056</v>
      </c>
      <c r="B23" s="514" t="s">
        <v>89</v>
      </c>
      <c r="C23" s="494">
        <v>11</v>
      </c>
      <c r="D23" s="494">
        <v>30</v>
      </c>
      <c r="E23" s="494">
        <v>11</v>
      </c>
      <c r="F23" s="232" t="s">
        <v>108</v>
      </c>
      <c r="G23" s="713">
        <v>9136202.3699999992</v>
      </c>
      <c r="H23" s="647">
        <v>23774186.550000001</v>
      </c>
      <c r="I23" s="693">
        <v>2595300</v>
      </c>
      <c r="J23" s="648">
        <v>19499029.120000001</v>
      </c>
      <c r="K23" s="647">
        <f t="shared" si="0"/>
        <v>-4275157.43</v>
      </c>
      <c r="L23" s="230"/>
      <c r="M23" s="230"/>
      <c r="N23" s="231"/>
    </row>
    <row r="24" spans="1:14" ht="14.45">
      <c r="A24" s="493">
        <v>20056</v>
      </c>
      <c r="B24" s="514" t="s">
        <v>89</v>
      </c>
      <c r="C24" s="494">
        <v>11</v>
      </c>
      <c r="D24" s="494">
        <v>30</v>
      </c>
      <c r="E24" s="514">
        <v>99</v>
      </c>
      <c r="F24" s="232" t="s">
        <v>24</v>
      </c>
      <c r="G24" s="713">
        <v>62266568.600000001</v>
      </c>
      <c r="H24" s="647">
        <v>144243834.94</v>
      </c>
      <c r="I24" s="693">
        <v>18233578</v>
      </c>
      <c r="J24" s="648">
        <v>118390815.12</v>
      </c>
      <c r="K24" s="647">
        <f t="shared" si="0"/>
        <v>-25853019.819999993</v>
      </c>
      <c r="L24" s="230"/>
      <c r="M24" s="230"/>
      <c r="N24" s="231"/>
    </row>
    <row r="25" spans="1:14" ht="14.45">
      <c r="A25" s="493">
        <v>20012</v>
      </c>
      <c r="B25" s="514" t="s">
        <v>89</v>
      </c>
      <c r="C25" s="494">
        <v>11</v>
      </c>
      <c r="D25" s="514">
        <v>53</v>
      </c>
      <c r="E25" s="514" t="s">
        <v>91</v>
      </c>
      <c r="F25" s="232" t="s">
        <v>25</v>
      </c>
      <c r="G25" s="648">
        <v>15432824047.219999</v>
      </c>
      <c r="H25" s="647">
        <v>11485945700</v>
      </c>
      <c r="I25" s="693">
        <v>12205926385.889999</v>
      </c>
      <c r="J25" s="648">
        <v>20846572330</v>
      </c>
      <c r="K25" s="647">
        <f t="shared" si="0"/>
        <v>9360626630</v>
      </c>
      <c r="L25" s="230">
        <v>42196693458.389999</v>
      </c>
      <c r="M25" s="230" t="e">
        <f>#REF!-#REF!</f>
        <v>#REF!</v>
      </c>
      <c r="N25" s="231"/>
    </row>
    <row r="26" spans="1:14" ht="14.45">
      <c r="A26" s="493">
        <v>20012</v>
      </c>
      <c r="B26" s="514" t="s">
        <v>89</v>
      </c>
      <c r="C26" s="494">
        <v>11</v>
      </c>
      <c r="D26" s="514">
        <v>53</v>
      </c>
      <c r="E26" s="514" t="s">
        <v>94</v>
      </c>
      <c r="F26" s="232" t="s">
        <v>109</v>
      </c>
      <c r="G26" s="648">
        <v>1331105455</v>
      </c>
      <c r="H26" s="647">
        <v>4313154300</v>
      </c>
      <c r="I26" s="693">
        <v>6184900957.3999996</v>
      </c>
      <c r="J26" s="648">
        <v>7828217670</v>
      </c>
      <c r="K26" s="647">
        <f t="shared" si="0"/>
        <v>3515063370</v>
      </c>
      <c r="L26" s="230">
        <v>76878801727.820007</v>
      </c>
      <c r="M26" s="230" t="e">
        <f>#REF!-#REF!</f>
        <v>#REF!</v>
      </c>
      <c r="N26" s="231"/>
    </row>
    <row r="27" spans="1:14" ht="26.1">
      <c r="A27" s="493">
        <v>20056</v>
      </c>
      <c r="B27" s="514" t="s">
        <v>89</v>
      </c>
      <c r="C27" s="494">
        <v>11</v>
      </c>
      <c r="D27" s="514">
        <v>20</v>
      </c>
      <c r="E27" s="514" t="s">
        <v>91</v>
      </c>
      <c r="F27" s="232" t="s">
        <v>26</v>
      </c>
      <c r="G27" s="648">
        <v>5864166159.9200001</v>
      </c>
      <c r="H27" s="647">
        <v>8023787100</v>
      </c>
      <c r="I27" s="693">
        <v>6284441130</v>
      </c>
      <c r="J27" s="648">
        <v>9661920940.2700005</v>
      </c>
      <c r="K27" s="647">
        <f t="shared" si="0"/>
        <v>1638133840.2700005</v>
      </c>
      <c r="L27" s="230"/>
      <c r="M27" s="230" t="e">
        <f>#REF!-#REF!</f>
        <v>#REF!</v>
      </c>
      <c r="N27" s="231"/>
    </row>
    <row r="28" spans="1:14" ht="14.45">
      <c r="A28" s="493">
        <v>20056</v>
      </c>
      <c r="B28" s="514" t="s">
        <v>89</v>
      </c>
      <c r="C28" s="494">
        <v>11</v>
      </c>
      <c r="D28" s="514" t="s">
        <v>110</v>
      </c>
      <c r="E28" s="514" t="s">
        <v>91</v>
      </c>
      <c r="F28" s="232" t="s">
        <v>27</v>
      </c>
      <c r="G28" s="648">
        <v>34122884392.330002</v>
      </c>
      <c r="H28" s="647">
        <v>36700287000</v>
      </c>
      <c r="I28" s="693">
        <v>28468281388.73</v>
      </c>
      <c r="J28" s="648">
        <v>48119125402.449997</v>
      </c>
      <c r="K28" s="647">
        <f t="shared" si="0"/>
        <v>11418838402.449997</v>
      </c>
      <c r="L28" s="230">
        <v>11801001471.74</v>
      </c>
      <c r="M28" s="230" t="e">
        <f>#REF!-#REF!</f>
        <v>#REF!</v>
      </c>
      <c r="N28" s="231"/>
    </row>
    <row r="29" spans="1:14" ht="14.45">
      <c r="A29" s="493">
        <v>20056</v>
      </c>
      <c r="B29" s="514" t="s">
        <v>89</v>
      </c>
      <c r="C29" s="494">
        <v>11</v>
      </c>
      <c r="D29" s="514" t="s">
        <v>111</v>
      </c>
      <c r="E29" s="514" t="s">
        <v>91</v>
      </c>
      <c r="F29" s="232" t="s">
        <v>28</v>
      </c>
      <c r="G29" s="648">
        <v>2083405137.5699999</v>
      </c>
      <c r="H29" s="647">
        <v>2540120700</v>
      </c>
      <c r="I29" s="693">
        <v>2030233504</v>
      </c>
      <c r="J29" s="648">
        <v>3118889465.1999998</v>
      </c>
      <c r="K29" s="647">
        <f t="shared" si="0"/>
        <v>578768765.19999981</v>
      </c>
      <c r="L29" s="230"/>
      <c r="M29" s="230" t="s">
        <v>18</v>
      </c>
      <c r="N29" s="231"/>
    </row>
    <row r="30" spans="1:14" ht="14.45">
      <c r="A30" s="493">
        <v>20012</v>
      </c>
      <c r="B30" s="514" t="s">
        <v>89</v>
      </c>
      <c r="C30" s="494">
        <v>11</v>
      </c>
      <c r="D30" s="514">
        <v>15</v>
      </c>
      <c r="E30" s="514" t="s">
        <v>91</v>
      </c>
      <c r="F30" s="232" t="s">
        <v>29</v>
      </c>
      <c r="G30" s="648">
        <v>111946966649.22</v>
      </c>
      <c r="H30" s="647">
        <v>119622219900</v>
      </c>
      <c r="I30" s="693">
        <v>87248765673.150009</v>
      </c>
      <c r="J30" s="648">
        <v>156438503433.38</v>
      </c>
      <c r="K30" s="647">
        <f t="shared" si="0"/>
        <v>36816283533.380005</v>
      </c>
      <c r="L30" s="230"/>
      <c r="M30" s="230"/>
      <c r="N30" s="231"/>
    </row>
    <row r="31" spans="1:14" ht="14.45">
      <c r="A31" s="493">
        <v>20056</v>
      </c>
      <c r="B31" s="514" t="s">
        <v>89</v>
      </c>
      <c r="C31" s="494">
        <v>11</v>
      </c>
      <c r="D31" s="514">
        <v>15</v>
      </c>
      <c r="E31" s="514" t="s">
        <v>91</v>
      </c>
      <c r="F31" s="232" t="s">
        <v>29</v>
      </c>
      <c r="G31" s="648">
        <f>91466981046+8000000000</f>
        <v>99466981046</v>
      </c>
      <c r="H31" s="647">
        <v>117964845900</v>
      </c>
      <c r="I31" s="693">
        <v>87184726392.759995</v>
      </c>
      <c r="J31" s="648">
        <v>122598160000</v>
      </c>
      <c r="K31" s="647">
        <f t="shared" si="0"/>
        <v>4633314100</v>
      </c>
      <c r="L31" s="230"/>
      <c r="M31" s="230"/>
      <c r="N31" s="231"/>
    </row>
    <row r="32" spans="1:14" ht="14.45">
      <c r="A32" s="493">
        <v>20012</v>
      </c>
      <c r="B32" s="514" t="s">
        <v>89</v>
      </c>
      <c r="C32" s="494">
        <v>11</v>
      </c>
      <c r="D32" s="514">
        <v>16</v>
      </c>
      <c r="E32" s="514" t="s">
        <v>91</v>
      </c>
      <c r="F32" s="232" t="s">
        <v>30</v>
      </c>
      <c r="G32" s="648">
        <v>31759477004.549999</v>
      </c>
      <c r="H32" s="647">
        <v>29777600000</v>
      </c>
      <c r="I32" s="693">
        <v>50271444015.620003</v>
      </c>
      <c r="J32" s="648">
        <v>30631243666.580002</v>
      </c>
      <c r="K32" s="647">
        <f t="shared" si="0"/>
        <v>853643666.58000183</v>
      </c>
      <c r="L32" s="230"/>
      <c r="M32" s="230"/>
      <c r="N32" s="231"/>
    </row>
    <row r="33" spans="1:14" ht="14.45">
      <c r="A33" s="493">
        <v>20056</v>
      </c>
      <c r="B33" s="514" t="s">
        <v>89</v>
      </c>
      <c r="C33" s="494">
        <v>11</v>
      </c>
      <c r="D33" s="514">
        <v>16</v>
      </c>
      <c r="E33" s="514" t="s">
        <v>91</v>
      </c>
      <c r="F33" s="232" t="s">
        <v>30</v>
      </c>
      <c r="G33" s="648">
        <v>53135290604.550003</v>
      </c>
      <c r="H33" s="647">
        <v>62295200000</v>
      </c>
      <c r="I33" s="693">
        <v>20556096986.700001</v>
      </c>
      <c r="J33" s="648">
        <v>73371564385.850006</v>
      </c>
      <c r="K33" s="647">
        <f t="shared" si="0"/>
        <v>11076364385.850006</v>
      </c>
      <c r="L33" s="230"/>
      <c r="M33" s="230"/>
      <c r="N33" s="231"/>
    </row>
    <row r="34" spans="1:14" ht="14.45">
      <c r="A34" s="493">
        <v>20012</v>
      </c>
      <c r="B34" s="514" t="s">
        <v>89</v>
      </c>
      <c r="C34" s="494">
        <v>11</v>
      </c>
      <c r="D34" s="514">
        <v>32</v>
      </c>
      <c r="E34" s="514" t="s">
        <v>91</v>
      </c>
      <c r="F34" s="232" t="s">
        <v>31</v>
      </c>
      <c r="G34" s="648">
        <v>2832782336</v>
      </c>
      <c r="H34" s="647">
        <v>731000000</v>
      </c>
      <c r="I34" s="693">
        <v>3837037887.4900002</v>
      </c>
      <c r="J34" s="648">
        <v>752164737.78999996</v>
      </c>
      <c r="K34" s="647">
        <f t="shared" si="0"/>
        <v>21164737.789999962</v>
      </c>
      <c r="L34" s="230">
        <v>12022404539.059999</v>
      </c>
      <c r="M34" s="230">
        <f>SUM(M33:M33)</f>
        <v>0</v>
      </c>
      <c r="N34" s="231"/>
    </row>
    <row r="35" spans="1:14" ht="14.45">
      <c r="A35" s="493">
        <v>20056</v>
      </c>
      <c r="B35" s="514" t="s">
        <v>89</v>
      </c>
      <c r="C35" s="494">
        <v>11</v>
      </c>
      <c r="D35" s="514">
        <v>32</v>
      </c>
      <c r="E35" s="514" t="s">
        <v>91</v>
      </c>
      <c r="F35" s="232" t="s">
        <v>31</v>
      </c>
      <c r="G35" s="648">
        <v>2500002100</v>
      </c>
      <c r="H35" s="647">
        <v>4759770000</v>
      </c>
      <c r="I35" s="693">
        <v>912777091.75</v>
      </c>
      <c r="J35" s="648">
        <v>5868203779.3100004</v>
      </c>
      <c r="K35" s="647">
        <f t="shared" si="0"/>
        <v>1108433779.3100004</v>
      </c>
      <c r="L35" s="230"/>
      <c r="M35" s="230"/>
      <c r="N35" s="231"/>
    </row>
    <row r="36" spans="1:14" ht="14.45">
      <c r="A36" s="493">
        <v>20056</v>
      </c>
      <c r="B36" s="514" t="s">
        <v>89</v>
      </c>
      <c r="C36" s="494">
        <v>11</v>
      </c>
      <c r="D36" s="514">
        <v>35</v>
      </c>
      <c r="E36" s="514" t="s">
        <v>91</v>
      </c>
      <c r="F36" s="232" t="s">
        <v>32</v>
      </c>
      <c r="G36" s="648">
        <v>3432115071.48</v>
      </c>
      <c r="H36" s="647">
        <v>3219695000</v>
      </c>
      <c r="I36" s="693">
        <v>2411934889</v>
      </c>
      <c r="J36" s="648">
        <v>3607997396.4099998</v>
      </c>
      <c r="K36" s="647">
        <f t="shared" si="0"/>
        <v>388302396.40999985</v>
      </c>
      <c r="L36" s="230"/>
      <c r="M36" s="230"/>
      <c r="N36" s="231"/>
    </row>
    <row r="37" spans="1:14" ht="14.45">
      <c r="A37" s="493">
        <v>20056</v>
      </c>
      <c r="B37" s="514" t="s">
        <v>89</v>
      </c>
      <c r="C37" s="494">
        <v>11</v>
      </c>
      <c r="D37" s="514">
        <v>20</v>
      </c>
      <c r="E37" s="514" t="s">
        <v>91</v>
      </c>
      <c r="F37" s="232" t="s">
        <v>33</v>
      </c>
      <c r="G37" s="648">
        <v>2229490270.02</v>
      </c>
      <c r="H37" s="647">
        <v>2577234700</v>
      </c>
      <c r="I37" s="693">
        <v>2435288932.3899999</v>
      </c>
      <c r="J37" s="648">
        <v>3592752403.3499999</v>
      </c>
      <c r="K37" s="647">
        <f t="shared" si="0"/>
        <v>1015517703.3499999</v>
      </c>
      <c r="L37" s="230"/>
      <c r="M37" s="230"/>
      <c r="N37" s="231"/>
    </row>
    <row r="38" spans="1:14" ht="14.45">
      <c r="A38" s="493">
        <v>20056</v>
      </c>
      <c r="B38" s="514" t="s">
        <v>89</v>
      </c>
      <c r="C38" s="494">
        <v>11</v>
      </c>
      <c r="D38" s="514">
        <v>62</v>
      </c>
      <c r="E38" s="514" t="s">
        <v>91</v>
      </c>
      <c r="F38" s="232" t="s">
        <v>34</v>
      </c>
      <c r="G38" s="648">
        <v>142015985.41</v>
      </c>
      <c r="H38" s="647"/>
      <c r="I38" s="693">
        <v>87367550</v>
      </c>
      <c r="J38" s="648">
        <f t="shared" ref="J38" si="1">H38*5%+H38</f>
        <v>0</v>
      </c>
      <c r="K38" s="647">
        <f t="shared" si="0"/>
        <v>0</v>
      </c>
      <c r="L38" s="230">
        <v>2966636851.3400002</v>
      </c>
      <c r="M38" s="230" t="e">
        <f>#REF!-#REF!</f>
        <v>#REF!</v>
      </c>
      <c r="N38" s="231"/>
    </row>
    <row r="39" spans="1:14" ht="14.45">
      <c r="A39" s="493">
        <v>68000</v>
      </c>
      <c r="B39" s="514">
        <v>577</v>
      </c>
      <c r="C39" s="494">
        <v>11</v>
      </c>
      <c r="D39" s="514">
        <v>60</v>
      </c>
      <c r="E39" s="514" t="s">
        <v>91</v>
      </c>
      <c r="F39" s="233" t="s">
        <v>35</v>
      </c>
      <c r="G39" s="649">
        <v>86359248.819999993</v>
      </c>
      <c r="H39" s="647">
        <v>75600000</v>
      </c>
      <c r="I39" s="693">
        <v>75271805</v>
      </c>
      <c r="J39" s="648">
        <v>110054578.59999999</v>
      </c>
      <c r="K39" s="647">
        <f t="shared" si="0"/>
        <v>34454578.599999994</v>
      </c>
      <c r="L39" s="230"/>
      <c r="M39" s="230"/>
      <c r="N39" s="231"/>
    </row>
    <row r="40" spans="1:14" ht="14.45">
      <c r="A40" s="493">
        <v>50000</v>
      </c>
      <c r="B40" s="514">
        <v>794</v>
      </c>
      <c r="C40" s="494">
        <v>11</v>
      </c>
      <c r="D40" s="514">
        <v>55</v>
      </c>
      <c r="E40" s="514" t="s">
        <v>91</v>
      </c>
      <c r="F40" s="232" t="s">
        <v>36</v>
      </c>
      <c r="G40" s="648">
        <v>310047727.22000003</v>
      </c>
      <c r="H40" s="647">
        <v>323848704</v>
      </c>
      <c r="I40" s="693">
        <v>220380342</v>
      </c>
      <c r="J40" s="677">
        <v>327036504</v>
      </c>
      <c r="K40" s="647">
        <f t="shared" si="0"/>
        <v>3187800</v>
      </c>
      <c r="L40" s="230">
        <v>2966636851.3400002</v>
      </c>
      <c r="M40" s="230" t="e">
        <f>SUM(M38:M39)</f>
        <v>#REF!</v>
      </c>
      <c r="N40" s="231"/>
    </row>
    <row r="41" spans="1:14" ht="15" thickBot="1">
      <c r="A41" s="493">
        <v>56000</v>
      </c>
      <c r="B41" s="514">
        <v>761</v>
      </c>
      <c r="C41" s="494">
        <v>11</v>
      </c>
      <c r="D41" s="514">
        <v>30</v>
      </c>
      <c r="E41" s="514" t="s">
        <v>91</v>
      </c>
      <c r="F41" s="232" t="s">
        <v>37</v>
      </c>
      <c r="G41" s="648">
        <v>2931910514.3499999</v>
      </c>
      <c r="H41" s="647">
        <v>1528653600</v>
      </c>
      <c r="I41" s="694">
        <v>1302871667.3600001</v>
      </c>
      <c r="J41" s="648">
        <v>1844736282</v>
      </c>
      <c r="K41" s="647">
        <f t="shared" si="0"/>
        <v>316082682</v>
      </c>
      <c r="L41" s="230"/>
      <c r="M41" s="230"/>
      <c r="N41" s="231"/>
    </row>
    <row r="42" spans="1:14" s="519" customFormat="1" ht="15.95" thickBot="1">
      <c r="A42" s="516"/>
      <c r="B42" s="517"/>
      <c r="C42" s="517"/>
      <c r="D42" s="517"/>
      <c r="E42" s="517"/>
      <c r="F42" s="550" t="s">
        <v>112</v>
      </c>
      <c r="G42" s="650">
        <f>SUM(G12:G41)</f>
        <v>626358446430.81641</v>
      </c>
      <c r="H42" s="650">
        <f>SUM(H12:H41)</f>
        <v>671536098866.98999</v>
      </c>
      <c r="I42" s="650">
        <f>SUM(I12:I41)</f>
        <v>501585771753.56006</v>
      </c>
      <c r="J42" s="650">
        <f>SUM(J12:J41)</f>
        <v>824295808437.58997</v>
      </c>
      <c r="K42" s="653">
        <f t="shared" si="0"/>
        <v>152759709570.59998</v>
      </c>
      <c r="L42" s="571">
        <f t="shared" ref="L42:N42" si="2">SUM(L12:L41)</f>
        <v>207873850795.76999</v>
      </c>
      <c r="M42" s="518" t="e">
        <f t="shared" si="2"/>
        <v>#REF!</v>
      </c>
      <c r="N42" s="518">
        <f t="shared" si="2"/>
        <v>0</v>
      </c>
    </row>
    <row r="43" spans="1:14">
      <c r="F43" s="232"/>
      <c r="G43" s="651" t="s">
        <v>18</v>
      </c>
      <c r="H43" s="647"/>
      <c r="I43" s="695"/>
      <c r="J43" s="648"/>
      <c r="K43" s="647"/>
      <c r="L43" s="230"/>
      <c r="M43" s="230"/>
      <c r="N43" s="231"/>
    </row>
    <row r="44" spans="1:14" ht="26.1">
      <c r="F44" s="513" t="s">
        <v>113</v>
      </c>
      <c r="G44" s="651" t="s">
        <v>18</v>
      </c>
      <c r="H44" s="647"/>
      <c r="I44" s="696"/>
      <c r="J44" s="678"/>
      <c r="K44" s="647"/>
      <c r="L44" s="230"/>
      <c r="M44" s="230"/>
      <c r="N44" s="231"/>
    </row>
    <row r="45" spans="1:14" ht="12.95">
      <c r="A45" s="520" t="s">
        <v>114</v>
      </c>
      <c r="B45" s="514" t="s">
        <v>89</v>
      </c>
      <c r="C45" s="494">
        <v>12</v>
      </c>
      <c r="D45" s="494">
        <v>17</v>
      </c>
      <c r="E45" s="494">
        <v>14</v>
      </c>
      <c r="F45" s="232" t="s">
        <v>115</v>
      </c>
      <c r="G45" s="651"/>
      <c r="H45" s="647" t="s">
        <v>18</v>
      </c>
      <c r="I45" s="696"/>
      <c r="J45" s="678"/>
      <c r="K45" s="647"/>
      <c r="L45" s="230"/>
      <c r="M45" s="230"/>
      <c r="N45" s="231"/>
    </row>
    <row r="46" spans="1:14" ht="12.95" thickBot="1">
      <c r="A46" s="520" t="s">
        <v>114</v>
      </c>
      <c r="B46" s="514" t="s">
        <v>89</v>
      </c>
      <c r="C46" s="494">
        <v>12</v>
      </c>
      <c r="D46" s="494">
        <v>99</v>
      </c>
      <c r="E46" s="494">
        <v>99</v>
      </c>
      <c r="F46" s="232" t="s">
        <v>116</v>
      </c>
      <c r="G46" s="647">
        <v>35000</v>
      </c>
      <c r="H46" s="647">
        <v>2365</v>
      </c>
      <c r="I46" s="696"/>
      <c r="J46" s="648">
        <v>4370.8</v>
      </c>
      <c r="K46" s="647">
        <f>J46-H46</f>
        <v>2005.8000000000002</v>
      </c>
      <c r="L46" s="230"/>
      <c r="M46" s="230"/>
      <c r="N46" s="231"/>
    </row>
    <row r="47" spans="1:14" ht="26.45" thickBot="1">
      <c r="A47" s="520"/>
      <c r="B47" s="514"/>
      <c r="F47" s="521" t="s">
        <v>117</v>
      </c>
      <c r="G47" s="650">
        <v>35000</v>
      </c>
      <c r="H47" s="650">
        <f>SUM(H45:H46)</f>
        <v>2365</v>
      </c>
      <c r="I47" s="697">
        <f>SUM(I44:I46)</f>
        <v>0</v>
      </c>
      <c r="J47" s="650">
        <f>SUM(J45:J46)</f>
        <v>4370.8</v>
      </c>
      <c r="K47" s="650">
        <f t="shared" ref="K47:N47" si="3">SUM(K45:K46)</f>
        <v>2005.8000000000002</v>
      </c>
      <c r="L47" s="571">
        <f t="shared" si="3"/>
        <v>0</v>
      </c>
      <c r="M47" s="518">
        <f t="shared" si="3"/>
        <v>0</v>
      </c>
      <c r="N47" s="522">
        <f t="shared" si="3"/>
        <v>0</v>
      </c>
    </row>
    <row r="48" spans="1:14" ht="12.95">
      <c r="A48" s="520"/>
      <c r="B48" s="514"/>
      <c r="F48" s="513"/>
      <c r="G48" s="652"/>
      <c r="H48" s="652"/>
      <c r="I48" s="698"/>
      <c r="J48" s="652"/>
      <c r="K48" s="652"/>
      <c r="L48" s="523"/>
      <c r="M48" s="523"/>
      <c r="N48" s="523"/>
    </row>
    <row r="49" spans="1:14" ht="12.95">
      <c r="A49" s="520"/>
      <c r="B49" s="514"/>
      <c r="F49" s="513" t="s">
        <v>118</v>
      </c>
      <c r="G49" s="651"/>
      <c r="H49" s="647"/>
      <c r="I49" s="696" t="s">
        <v>18</v>
      </c>
      <c r="J49" s="647"/>
      <c r="K49" s="647">
        <f>J49-H49</f>
        <v>0</v>
      </c>
      <c r="L49" s="230"/>
      <c r="M49" s="230"/>
      <c r="N49" s="231"/>
    </row>
    <row r="50" spans="1:14" ht="12.95" thickBot="1">
      <c r="A50" s="520"/>
      <c r="B50" s="514"/>
      <c r="F50" s="232" t="s">
        <v>119</v>
      </c>
      <c r="G50" s="647"/>
      <c r="H50" s="647">
        <v>5600000</v>
      </c>
      <c r="I50" s="696"/>
      <c r="J50" s="647">
        <v>5600000</v>
      </c>
      <c r="K50" s="647">
        <f>J50-H50</f>
        <v>0</v>
      </c>
      <c r="L50" s="230"/>
      <c r="M50" s="230"/>
      <c r="N50" s="231"/>
    </row>
    <row r="51" spans="1:14" ht="13.5" thickBot="1">
      <c r="A51" s="520"/>
      <c r="B51" s="514"/>
      <c r="F51" s="521" t="s">
        <v>120</v>
      </c>
      <c r="G51" s="650">
        <v>0</v>
      </c>
      <c r="H51" s="653">
        <f>SUM(H50)</f>
        <v>5600000</v>
      </c>
      <c r="I51" s="699">
        <f>SUM(I50)</f>
        <v>0</v>
      </c>
      <c r="J51" s="650">
        <f t="shared" ref="J51:N51" si="4">SUM(J49:J50)</f>
        <v>5600000</v>
      </c>
      <c r="K51" s="650">
        <f t="shared" si="4"/>
        <v>0</v>
      </c>
      <c r="L51" s="571">
        <f t="shared" si="4"/>
        <v>0</v>
      </c>
      <c r="M51" s="518">
        <f t="shared" si="4"/>
        <v>0</v>
      </c>
      <c r="N51" s="522">
        <f t="shared" si="4"/>
        <v>0</v>
      </c>
    </row>
    <row r="52" spans="1:14" ht="12.95">
      <c r="A52" s="520"/>
      <c r="B52" s="514"/>
      <c r="F52" s="513" t="s">
        <v>121</v>
      </c>
      <c r="G52" s="652"/>
      <c r="H52" s="661">
        <v>12000</v>
      </c>
      <c r="I52" s="696"/>
      <c r="J52" s="652"/>
      <c r="K52" s="652"/>
      <c r="L52" s="523"/>
      <c r="M52" s="523"/>
      <c r="N52" s="523"/>
    </row>
    <row r="53" spans="1:14">
      <c r="F53" s="232"/>
      <c r="G53" s="651"/>
      <c r="H53" s="647"/>
      <c r="I53" s="696" t="s">
        <v>18</v>
      </c>
      <c r="J53" s="647"/>
      <c r="K53" s="647"/>
      <c r="L53" s="230"/>
      <c r="M53" s="230"/>
      <c r="N53" s="231"/>
    </row>
    <row r="54" spans="1:14" s="519" customFormat="1" ht="26.1">
      <c r="A54" s="524"/>
      <c r="B54" s="525"/>
      <c r="C54" s="517"/>
      <c r="D54" s="525"/>
      <c r="E54" s="517"/>
      <c r="F54" s="513" t="s">
        <v>122</v>
      </c>
      <c r="G54" s="651"/>
      <c r="H54" s="647"/>
      <c r="I54" s="696" t="s">
        <v>18</v>
      </c>
      <c r="J54" s="647"/>
      <c r="K54" s="647">
        <f>J54-H54</f>
        <v>0</v>
      </c>
      <c r="L54" s="230"/>
      <c r="M54" s="230"/>
      <c r="N54" s="231"/>
    </row>
    <row r="55" spans="1:14" s="519" customFormat="1" ht="13.5" thickBot="1">
      <c r="A55" s="524"/>
      <c r="B55" s="525"/>
      <c r="C55" s="517"/>
      <c r="D55" s="525"/>
      <c r="E55" s="517"/>
      <c r="F55" s="232" t="s">
        <v>123</v>
      </c>
      <c r="G55" s="647">
        <v>0</v>
      </c>
      <c r="H55" s="647">
        <v>6000000</v>
      </c>
      <c r="I55" s="696">
        <f>'SUMMARY SHEET AUGUST -DECEMBER'!H61+'SUMMARY SHEET AUGUST -DECEMBER'!H57</f>
        <v>3387850</v>
      </c>
      <c r="J55" s="647">
        <v>7350000</v>
      </c>
      <c r="K55" s="647">
        <f>J55-H55</f>
        <v>1350000</v>
      </c>
      <c r="L55" s="230"/>
      <c r="M55" s="230"/>
      <c r="N55" s="231"/>
    </row>
    <row r="56" spans="1:14" s="519" customFormat="1" ht="26.45" thickBot="1">
      <c r="A56" s="524"/>
      <c r="B56" s="525"/>
      <c r="C56" s="517"/>
      <c r="D56" s="525"/>
      <c r="E56" s="517"/>
      <c r="F56" s="521" t="s">
        <v>124</v>
      </c>
      <c r="G56" s="650">
        <v>0</v>
      </c>
      <c r="H56" s="653">
        <f>H55</f>
        <v>6000000</v>
      </c>
      <c r="I56" s="700">
        <f>SUM(I55)</f>
        <v>3387850</v>
      </c>
      <c r="J56" s="650">
        <f t="shared" ref="J56:N56" si="5">SUM(J54:J55)</f>
        <v>7350000</v>
      </c>
      <c r="K56" s="650">
        <f t="shared" si="5"/>
        <v>1350000</v>
      </c>
      <c r="L56" s="571">
        <f t="shared" si="5"/>
        <v>0</v>
      </c>
      <c r="M56" s="518">
        <f t="shared" si="5"/>
        <v>0</v>
      </c>
      <c r="N56" s="522">
        <f t="shared" si="5"/>
        <v>0</v>
      </c>
    </row>
    <row r="57" spans="1:14">
      <c r="F57" s="232"/>
      <c r="G57" s="651"/>
      <c r="H57" s="647" t="s">
        <v>125</v>
      </c>
      <c r="I57" s="696" t="s">
        <v>18</v>
      </c>
      <c r="J57" s="647"/>
      <c r="K57" s="647"/>
      <c r="L57" s="230"/>
      <c r="M57" s="230"/>
      <c r="N57" s="231"/>
    </row>
    <row r="58" spans="1:14" ht="12.95">
      <c r="F58" s="513" t="s">
        <v>126</v>
      </c>
      <c r="G58" s="651"/>
      <c r="H58" s="647"/>
      <c r="I58" s="696"/>
      <c r="J58" s="647"/>
      <c r="K58" s="647"/>
      <c r="L58" s="230"/>
      <c r="M58" s="230"/>
      <c r="N58" s="231"/>
    </row>
    <row r="59" spans="1:14">
      <c r="A59" s="520" t="s">
        <v>127</v>
      </c>
      <c r="B59" s="514" t="s">
        <v>89</v>
      </c>
      <c r="C59" s="494">
        <v>12</v>
      </c>
      <c r="D59" s="494">
        <v>16</v>
      </c>
      <c r="E59" s="514" t="s">
        <v>111</v>
      </c>
      <c r="F59" s="232" t="s">
        <v>128</v>
      </c>
      <c r="G59" s="647">
        <v>300000</v>
      </c>
      <c r="H59" s="647">
        <v>5000000</v>
      </c>
      <c r="I59" s="696"/>
      <c r="J59" s="647">
        <v>0</v>
      </c>
      <c r="K59" s="647">
        <f>J59-H59</f>
        <v>-5000000</v>
      </c>
      <c r="L59" s="230">
        <f>SUM(J59:J59)</f>
        <v>0</v>
      </c>
      <c r="M59" s="230" t="e">
        <f>#REF!-#REF!</f>
        <v>#REF!</v>
      </c>
      <c r="N59" s="231"/>
    </row>
    <row r="60" spans="1:14" ht="12.95" thickBot="1">
      <c r="A60" s="520" t="s">
        <v>127</v>
      </c>
      <c r="B60" s="514" t="s">
        <v>89</v>
      </c>
      <c r="C60" s="494">
        <v>12</v>
      </c>
      <c r="D60" s="494">
        <v>99</v>
      </c>
      <c r="E60" s="494">
        <v>99</v>
      </c>
      <c r="F60" s="232" t="s">
        <v>129</v>
      </c>
      <c r="G60" s="647">
        <v>1000</v>
      </c>
      <c r="H60" s="647">
        <v>3000</v>
      </c>
      <c r="I60" s="696">
        <f>'SUMMARY SHEET AUGUST -DECEMBER'!H66</f>
        <v>1000</v>
      </c>
      <c r="J60" s="647">
        <v>3000</v>
      </c>
      <c r="K60" s="647">
        <f>-J60-H60</f>
        <v>-6000</v>
      </c>
      <c r="L60" s="230"/>
      <c r="M60" s="230"/>
      <c r="N60" s="231"/>
    </row>
    <row r="61" spans="1:14" s="519" customFormat="1" ht="26.45" thickBot="1">
      <c r="A61" s="524"/>
      <c r="B61" s="525"/>
      <c r="C61" s="517"/>
      <c r="D61" s="517"/>
      <c r="E61" s="517"/>
      <c r="F61" s="521" t="s">
        <v>130</v>
      </c>
      <c r="G61" s="714">
        <f>SUM(G59:G60)</f>
        <v>301000</v>
      </c>
      <c r="H61" s="653">
        <f>SUM(H59:H60)</f>
        <v>5003000</v>
      </c>
      <c r="I61" s="700">
        <f>SUM(I59:I60)</f>
        <v>1000</v>
      </c>
      <c r="J61" s="653">
        <f>SUM(J59:J60)</f>
        <v>3000</v>
      </c>
      <c r="K61" s="653">
        <f t="shared" ref="K61:N61" si="6">SUM(K59:K60)</f>
        <v>-5006000</v>
      </c>
      <c r="L61" s="633">
        <f t="shared" si="6"/>
        <v>0</v>
      </c>
      <c r="M61" s="186" t="e">
        <f t="shared" si="6"/>
        <v>#REF!</v>
      </c>
      <c r="N61" s="237">
        <f t="shared" si="6"/>
        <v>0</v>
      </c>
    </row>
    <row r="62" spans="1:14">
      <c r="A62" s="520"/>
      <c r="B62" s="514"/>
      <c r="E62" s="514"/>
      <c r="F62" s="232"/>
      <c r="G62" s="651"/>
      <c r="H62" s="647"/>
      <c r="I62" s="696" t="s">
        <v>18</v>
      </c>
      <c r="J62" s="647"/>
      <c r="K62" s="647"/>
      <c r="L62" s="230"/>
      <c r="M62" s="230"/>
      <c r="N62" s="231"/>
    </row>
    <row r="63" spans="1:14" ht="26.1">
      <c r="F63" s="513" t="s">
        <v>131</v>
      </c>
      <c r="G63" s="651"/>
      <c r="H63" s="647"/>
      <c r="I63" s="696" t="s">
        <v>18</v>
      </c>
      <c r="J63" s="647"/>
      <c r="K63" s="647"/>
      <c r="L63" s="230">
        <f>SUM(J63:J63)</f>
        <v>0</v>
      </c>
      <c r="M63" s="230" t="e">
        <f>#REF!-#REF!</f>
        <v>#REF!</v>
      </c>
      <c r="N63" s="231"/>
    </row>
    <row r="64" spans="1:14">
      <c r="A64" s="520" t="s">
        <v>132</v>
      </c>
      <c r="B64" s="514" t="s">
        <v>89</v>
      </c>
      <c r="C64" s="494">
        <v>12</v>
      </c>
      <c r="D64" s="494">
        <v>17</v>
      </c>
      <c r="E64" s="494">
        <v>14</v>
      </c>
      <c r="F64" s="233" t="s">
        <v>115</v>
      </c>
      <c r="G64" s="647"/>
      <c r="H64" s="647">
        <v>7000</v>
      </c>
      <c r="I64" s="696">
        <v>0</v>
      </c>
      <c r="J64" s="647">
        <v>7400</v>
      </c>
      <c r="K64" s="647">
        <f>J64-H64</f>
        <v>400</v>
      </c>
      <c r="L64" s="230">
        <f>SUM(J64:J64)</f>
        <v>7400</v>
      </c>
      <c r="M64" s="230" t="e">
        <f>#REF!-#REF!</f>
        <v>#REF!</v>
      </c>
      <c r="N64" s="231"/>
    </row>
    <row r="65" spans="1:14" ht="12.95" thickBot="1">
      <c r="A65" s="520" t="s">
        <v>132</v>
      </c>
      <c r="B65" s="514" t="s">
        <v>89</v>
      </c>
      <c r="C65" s="494">
        <v>12</v>
      </c>
      <c r="D65" s="494">
        <v>99</v>
      </c>
      <c r="E65" s="494">
        <v>99</v>
      </c>
      <c r="F65" s="232" t="s">
        <v>129</v>
      </c>
      <c r="G65" s="647"/>
      <c r="H65" s="647">
        <v>63000</v>
      </c>
      <c r="I65" s="696">
        <f>'[2]To date'!$M$74+'SUMMARY SHEET AUGUST -DECEMBER'!H71</f>
        <v>122199.74</v>
      </c>
      <c r="J65" s="647">
        <v>67000</v>
      </c>
      <c r="K65" s="647">
        <f>J65-H65</f>
        <v>4000</v>
      </c>
      <c r="L65" s="230"/>
      <c r="M65" s="230"/>
      <c r="N65" s="231"/>
    </row>
    <row r="66" spans="1:14" s="519" customFormat="1" ht="26.45" thickBot="1">
      <c r="A66" s="524"/>
      <c r="B66" s="525"/>
      <c r="C66" s="517"/>
      <c r="D66" s="517"/>
      <c r="E66" s="517"/>
      <c r="F66" s="521" t="s">
        <v>133</v>
      </c>
      <c r="G66" s="653"/>
      <c r="H66" s="653">
        <f t="shared" ref="H66:N66" si="7">SUM(H64:H65)</f>
        <v>70000</v>
      </c>
      <c r="I66" s="700">
        <f t="shared" si="7"/>
        <v>122199.74</v>
      </c>
      <c r="J66" s="653">
        <f t="shared" si="7"/>
        <v>74400</v>
      </c>
      <c r="K66" s="653">
        <f t="shared" si="7"/>
        <v>4400</v>
      </c>
      <c r="L66" s="633">
        <f t="shared" si="7"/>
        <v>7400</v>
      </c>
      <c r="M66" s="186" t="e">
        <f t="shared" si="7"/>
        <v>#REF!</v>
      </c>
      <c r="N66" s="237">
        <f t="shared" si="7"/>
        <v>0</v>
      </c>
    </row>
    <row r="67" spans="1:14">
      <c r="F67" s="233"/>
      <c r="G67" s="651"/>
      <c r="H67" s="647"/>
      <c r="I67" s="696" t="s">
        <v>18</v>
      </c>
      <c r="J67" s="647"/>
      <c r="K67" s="647"/>
      <c r="L67" s="230">
        <f>SUM(J67:J67)</f>
        <v>0</v>
      </c>
      <c r="M67" s="230" t="e">
        <f>#REF!-#REF!</f>
        <v>#REF!</v>
      </c>
      <c r="N67" s="231"/>
    </row>
    <row r="68" spans="1:14" s="722" customFormat="1" ht="12.95">
      <c r="A68" s="716"/>
      <c r="B68" s="506"/>
      <c r="C68" s="506"/>
      <c r="D68" s="506"/>
      <c r="E68" s="506"/>
      <c r="F68" s="507" t="s">
        <v>134</v>
      </c>
      <c r="G68" s="717"/>
      <c r="H68" s="718"/>
      <c r="I68" s="719" t="s">
        <v>18</v>
      </c>
      <c r="J68" s="718"/>
      <c r="K68" s="718"/>
      <c r="L68" s="720">
        <f>SUM(J68:J68)</f>
        <v>0</v>
      </c>
      <c r="M68" s="720" t="e">
        <f>#REF!-#REF!</f>
        <v>#REF!</v>
      </c>
      <c r="N68" s="721"/>
    </row>
    <row r="69" spans="1:14">
      <c r="A69" s="520" t="s">
        <v>135</v>
      </c>
      <c r="B69" s="514" t="s">
        <v>89</v>
      </c>
      <c r="C69" s="494">
        <v>12</v>
      </c>
      <c r="D69" s="494">
        <v>10</v>
      </c>
      <c r="E69" s="494">
        <v>99</v>
      </c>
      <c r="F69" s="232" t="s">
        <v>136</v>
      </c>
      <c r="G69" s="647">
        <v>975000</v>
      </c>
      <c r="H69" s="647">
        <v>900000</v>
      </c>
      <c r="I69" s="696"/>
      <c r="J69" s="647">
        <v>2200000</v>
      </c>
      <c r="K69" s="647">
        <f>J69-H69</f>
        <v>1300000</v>
      </c>
      <c r="L69" s="230"/>
      <c r="M69" s="230"/>
      <c r="N69" s="231"/>
    </row>
    <row r="70" spans="1:14">
      <c r="A70" s="520" t="s">
        <v>135</v>
      </c>
      <c r="B70" s="514" t="s">
        <v>89</v>
      </c>
      <c r="C70" s="494">
        <v>12</v>
      </c>
      <c r="D70" s="494">
        <v>17</v>
      </c>
      <c r="E70" s="494">
        <v>14</v>
      </c>
      <c r="F70" s="232" t="s">
        <v>137</v>
      </c>
      <c r="G70" s="647"/>
      <c r="H70" s="647">
        <v>10000</v>
      </c>
      <c r="I70" s="696">
        <f>'[2]To date'!$M$78+'SUMMARY SHEET AUGUST -DECEMBER'!H76</f>
        <v>2500</v>
      </c>
      <c r="J70" s="647">
        <v>10000</v>
      </c>
      <c r="K70" s="647" t="s">
        <v>18</v>
      </c>
      <c r="L70" s="230"/>
      <c r="M70" s="230"/>
      <c r="N70" s="231"/>
    </row>
    <row r="71" spans="1:14" ht="12.95" thickBot="1">
      <c r="A71" s="520" t="s">
        <v>135</v>
      </c>
      <c r="B71" s="514" t="s">
        <v>89</v>
      </c>
      <c r="C71" s="494">
        <v>12</v>
      </c>
      <c r="D71" s="494">
        <v>99</v>
      </c>
      <c r="E71" s="494">
        <v>99</v>
      </c>
      <c r="F71" s="232" t="s">
        <v>116</v>
      </c>
      <c r="G71" s="647">
        <v>716938.5</v>
      </c>
      <c r="H71" s="647">
        <v>485000</v>
      </c>
      <c r="I71" s="696">
        <f>'[2]To date'!$M$79+'SUMMARY SHEET AUGUST -DECEMBER'!H77</f>
        <v>3275641.85</v>
      </c>
      <c r="J71" s="647">
        <v>485000</v>
      </c>
      <c r="K71" s="647">
        <f>J71-H71</f>
        <v>0</v>
      </c>
      <c r="L71" s="230"/>
      <c r="M71" s="230"/>
      <c r="N71" s="231"/>
    </row>
    <row r="72" spans="1:14" s="519" customFormat="1" ht="13.5" thickBot="1">
      <c r="A72" s="524"/>
      <c r="B72" s="525"/>
      <c r="C72" s="517"/>
      <c r="D72" s="517"/>
      <c r="E72" s="517"/>
      <c r="F72" s="521" t="s">
        <v>138</v>
      </c>
      <c r="G72" s="653">
        <f>G71+G69</f>
        <v>1691938.5</v>
      </c>
      <c r="H72" s="653">
        <f>SUM(H69:H71)</f>
        <v>1395000</v>
      </c>
      <c r="I72" s="700">
        <f>SUM(I69:I71)</f>
        <v>3278141.85</v>
      </c>
      <c r="J72" s="653">
        <f>SUM(J69:J71)</f>
        <v>2695000</v>
      </c>
      <c r="K72" s="653">
        <f>SUM(K70:K71)</f>
        <v>0</v>
      </c>
      <c r="L72" s="633">
        <f>SUM(L70:L71)</f>
        <v>0</v>
      </c>
      <c r="M72" s="186">
        <f>SUM(M70:M71)</f>
        <v>0</v>
      </c>
      <c r="N72" s="237">
        <f>SUM(N70:N71)</f>
        <v>0</v>
      </c>
    </row>
    <row r="73" spans="1:14">
      <c r="A73" s="520"/>
      <c r="B73" s="514"/>
      <c r="F73" s="232"/>
      <c r="G73" s="651"/>
      <c r="H73" s="647"/>
      <c r="I73" s="696" t="s">
        <v>18</v>
      </c>
      <c r="J73" s="647"/>
      <c r="K73" s="647"/>
      <c r="L73" s="230"/>
      <c r="M73" s="230"/>
      <c r="N73" s="231"/>
    </row>
    <row r="74" spans="1:14" ht="12.95">
      <c r="F74" s="513" t="s">
        <v>139</v>
      </c>
      <c r="G74" s="651"/>
      <c r="H74" s="647"/>
      <c r="I74" s="696" t="s">
        <v>18</v>
      </c>
      <c r="J74" s="647"/>
      <c r="K74" s="647"/>
      <c r="L74" s="230">
        <f>SUM(J74:J74)</f>
        <v>0</v>
      </c>
      <c r="M74" s="230" t="e">
        <f>#REF!-#REF!</f>
        <v>#REF!</v>
      </c>
      <c r="N74" s="231"/>
    </row>
    <row r="75" spans="1:14">
      <c r="A75" s="520" t="s">
        <v>135</v>
      </c>
      <c r="B75" s="494">
        <v>204</v>
      </c>
      <c r="C75" s="494">
        <v>12</v>
      </c>
      <c r="D75" s="514" t="s">
        <v>110</v>
      </c>
      <c r="E75" s="494">
        <v>15</v>
      </c>
      <c r="F75" s="232" t="s">
        <v>140</v>
      </c>
      <c r="G75" s="647">
        <v>0</v>
      </c>
      <c r="H75" s="647">
        <v>0</v>
      </c>
      <c r="I75" s="696">
        <v>0</v>
      </c>
      <c r="J75" s="647"/>
      <c r="K75" s="647">
        <f>J75-H75</f>
        <v>0</v>
      </c>
      <c r="L75" s="230">
        <f>SUM(J75:J75)</f>
        <v>0</v>
      </c>
      <c r="M75" s="230" t="e">
        <f>#REF!-#REF!</f>
        <v>#REF!</v>
      </c>
      <c r="N75" s="231"/>
    </row>
    <row r="76" spans="1:14" ht="12.95" thickBot="1">
      <c r="A76" s="520" t="s">
        <v>135</v>
      </c>
      <c r="B76" s="494">
        <v>204</v>
      </c>
      <c r="C76" s="494">
        <v>12</v>
      </c>
      <c r="D76" s="494">
        <v>99</v>
      </c>
      <c r="E76" s="494">
        <v>99</v>
      </c>
      <c r="F76" s="232" t="s">
        <v>116</v>
      </c>
      <c r="G76" s="647">
        <v>0</v>
      </c>
      <c r="H76" s="647">
        <v>0</v>
      </c>
      <c r="I76" s="696">
        <v>0</v>
      </c>
      <c r="J76" s="647"/>
      <c r="K76" s="647">
        <f>J76-H76</f>
        <v>0</v>
      </c>
      <c r="L76" s="230">
        <f>SUM(L59:L75)</f>
        <v>14800</v>
      </c>
      <c r="M76" s="230" t="e">
        <f>SUM(M59:M75)</f>
        <v>#REF!</v>
      </c>
      <c r="N76" s="231"/>
    </row>
    <row r="77" spans="1:14" s="519" customFormat="1" ht="13.5" thickBot="1">
      <c r="A77" s="516"/>
      <c r="B77" s="517"/>
      <c r="C77" s="517"/>
      <c r="D77" s="517"/>
      <c r="E77" s="517"/>
      <c r="F77" s="521" t="s">
        <v>141</v>
      </c>
      <c r="G77" s="653">
        <v>0</v>
      </c>
      <c r="H77" s="653">
        <f>H76+H75</f>
        <v>0</v>
      </c>
      <c r="I77" s="699">
        <f>SUM(I75:I76)</f>
        <v>0</v>
      </c>
      <c r="J77" s="653">
        <f>SUM(J75:J76)</f>
        <v>0</v>
      </c>
      <c r="K77" s="653">
        <f t="shared" ref="K77:N77" si="8">SUM(K75:K76)</f>
        <v>0</v>
      </c>
      <c r="L77" s="633">
        <f t="shared" si="8"/>
        <v>14800</v>
      </c>
      <c r="M77" s="186" t="e">
        <f t="shared" si="8"/>
        <v>#REF!</v>
      </c>
      <c r="N77" s="237">
        <f t="shared" si="8"/>
        <v>0</v>
      </c>
    </row>
    <row r="78" spans="1:14">
      <c r="F78" s="232"/>
      <c r="G78" s="651"/>
      <c r="H78" s="647"/>
      <c r="I78" s="696" t="s">
        <v>18</v>
      </c>
      <c r="J78" s="647"/>
      <c r="K78" s="647"/>
      <c r="L78" s="230"/>
      <c r="M78" s="230"/>
      <c r="N78" s="231"/>
    </row>
    <row r="79" spans="1:14" ht="12.95">
      <c r="F79" s="513" t="s">
        <v>142</v>
      </c>
      <c r="G79" s="651"/>
      <c r="H79" s="647"/>
      <c r="I79" s="696" t="s">
        <v>18</v>
      </c>
      <c r="J79" s="647"/>
      <c r="K79" s="647"/>
      <c r="L79" s="230"/>
      <c r="M79" s="230"/>
      <c r="N79" s="231"/>
    </row>
    <row r="80" spans="1:14">
      <c r="A80" s="520">
        <v>16000</v>
      </c>
      <c r="B80" s="514" t="s">
        <v>89</v>
      </c>
      <c r="C80" s="494">
        <v>12</v>
      </c>
      <c r="D80" s="494">
        <v>17</v>
      </c>
      <c r="E80" s="494">
        <v>14</v>
      </c>
      <c r="F80" s="232" t="s">
        <v>137</v>
      </c>
      <c r="G80" s="647"/>
      <c r="H80" s="647">
        <v>5000</v>
      </c>
      <c r="I80" s="696">
        <f>'SUMMARY SHEET AUGUST -DECEMBER'!H86</f>
        <v>500</v>
      </c>
      <c r="J80" s="647">
        <v>8000</v>
      </c>
      <c r="K80" s="647">
        <f>J80-H80</f>
        <v>3000</v>
      </c>
      <c r="L80" s="230"/>
      <c r="M80" s="230"/>
      <c r="N80" s="231"/>
    </row>
    <row r="81" spans="1:15" ht="12.95" thickBot="1">
      <c r="A81" s="520">
        <v>16000</v>
      </c>
      <c r="B81" s="514" t="s">
        <v>89</v>
      </c>
      <c r="C81" s="494">
        <v>12</v>
      </c>
      <c r="D81" s="494">
        <v>99</v>
      </c>
      <c r="E81" s="494">
        <v>99</v>
      </c>
      <c r="F81" s="232" t="s">
        <v>116</v>
      </c>
      <c r="G81" s="647">
        <v>0</v>
      </c>
      <c r="H81" s="647">
        <v>10000</v>
      </c>
      <c r="I81" s="696">
        <f>'[2]To date'!$M$89+'SUMMARY SHEET AUGUST -DECEMBER'!H87</f>
        <v>9449</v>
      </c>
      <c r="J81" s="647">
        <v>14000</v>
      </c>
      <c r="K81" s="647">
        <f>J81-H81</f>
        <v>4000</v>
      </c>
      <c r="L81" s="230"/>
      <c r="M81" s="230"/>
      <c r="N81" s="231"/>
    </row>
    <row r="82" spans="1:15" s="517" customFormat="1" ht="13.5" thickBot="1">
      <c r="A82" s="524"/>
      <c r="B82" s="525"/>
      <c r="F82" s="521" t="s">
        <v>143</v>
      </c>
      <c r="G82" s="653">
        <f>G81</f>
        <v>0</v>
      </c>
      <c r="H82" s="653">
        <f>SUM(H80:H81)</f>
        <v>15000</v>
      </c>
      <c r="I82" s="700">
        <f>SUM(I80:I81)</f>
        <v>9949</v>
      </c>
      <c r="J82" s="653">
        <f>SUM(J80:J81)</f>
        <v>22000</v>
      </c>
      <c r="K82" s="653">
        <f t="shared" ref="K82:N82" si="9">SUM(K80:K81)</f>
        <v>7000</v>
      </c>
      <c r="L82" s="633">
        <f t="shared" si="9"/>
        <v>0</v>
      </c>
      <c r="M82" s="186">
        <f t="shared" si="9"/>
        <v>0</v>
      </c>
      <c r="N82" s="237">
        <f t="shared" si="9"/>
        <v>0</v>
      </c>
    </row>
    <row r="83" spans="1:15">
      <c r="A83" s="520"/>
      <c r="B83" s="514"/>
      <c r="F83" s="232"/>
      <c r="G83" s="651"/>
      <c r="H83" s="647"/>
      <c r="I83" s="696" t="s">
        <v>18</v>
      </c>
      <c r="J83" s="647"/>
      <c r="K83" s="647"/>
      <c r="L83" s="230"/>
      <c r="M83" s="230"/>
      <c r="N83" s="231"/>
    </row>
    <row r="84" spans="1:15" ht="12.95">
      <c r="A84" s="493" t="s">
        <v>144</v>
      </c>
      <c r="F84" s="513" t="s">
        <v>145</v>
      </c>
      <c r="G84" s="651"/>
      <c r="H84" s="647"/>
      <c r="I84" s="696" t="s">
        <v>18</v>
      </c>
      <c r="J84" s="647"/>
      <c r="K84" s="647"/>
      <c r="L84" s="230"/>
      <c r="M84" s="230"/>
      <c r="N84" s="231"/>
    </row>
    <row r="85" spans="1:15">
      <c r="A85" s="493">
        <v>17000</v>
      </c>
      <c r="B85" s="514" t="s">
        <v>89</v>
      </c>
      <c r="C85" s="494">
        <v>12</v>
      </c>
      <c r="D85" s="494">
        <v>17</v>
      </c>
      <c r="E85" s="494">
        <v>14</v>
      </c>
      <c r="F85" s="232" t="s">
        <v>137</v>
      </c>
      <c r="G85" s="647"/>
      <c r="H85" s="647">
        <v>3000</v>
      </c>
      <c r="I85" s="696"/>
      <c r="J85" s="647">
        <v>5000</v>
      </c>
      <c r="K85" s="647">
        <f>J85-H85</f>
        <v>2000</v>
      </c>
      <c r="L85" s="230"/>
      <c r="M85" s="230"/>
      <c r="N85" s="231"/>
    </row>
    <row r="86" spans="1:15" ht="14.45">
      <c r="A86" s="493">
        <v>17000</v>
      </c>
      <c r="B86" s="514" t="s">
        <v>89</v>
      </c>
      <c r="C86" s="494">
        <v>12</v>
      </c>
      <c r="D86" s="494">
        <v>99</v>
      </c>
      <c r="E86" s="494">
        <v>99</v>
      </c>
      <c r="F86" s="232" t="s">
        <v>116</v>
      </c>
      <c r="G86" s="647">
        <v>223100</v>
      </c>
      <c r="H86" s="647">
        <v>35000</v>
      </c>
      <c r="I86" s="696">
        <v>921302.86</v>
      </c>
      <c r="J86" s="647">
        <f>50000+3000000</f>
        <v>3050000</v>
      </c>
      <c r="K86" s="647">
        <f>J86-H86</f>
        <v>3015000</v>
      </c>
      <c r="L86" s="230"/>
      <c r="M86" s="230"/>
      <c r="N86" s="231"/>
      <c r="O86" s="526"/>
    </row>
    <row r="87" spans="1:15" ht="15" thickBot="1">
      <c r="A87" s="493">
        <v>17000</v>
      </c>
      <c r="B87" s="514" t="s">
        <v>89</v>
      </c>
      <c r="C87" s="494">
        <v>12</v>
      </c>
      <c r="F87" s="232" t="s">
        <v>146</v>
      </c>
      <c r="G87" s="647">
        <v>3452559367.27</v>
      </c>
      <c r="H87" s="647">
        <v>5150363484</v>
      </c>
      <c r="I87" s="696">
        <v>5865138006.7600002</v>
      </c>
      <c r="J87" s="647">
        <v>8548357190.5100002</v>
      </c>
      <c r="K87" s="647">
        <f>J87-H87</f>
        <v>3397993706.5100002</v>
      </c>
      <c r="L87" s="230"/>
      <c r="M87" s="230"/>
      <c r="N87" s="231"/>
      <c r="O87" s="526"/>
    </row>
    <row r="88" spans="1:15" s="517" customFormat="1" ht="13.5" thickBot="1">
      <c r="A88" s="516"/>
      <c r="F88" s="521" t="s">
        <v>147</v>
      </c>
      <c r="G88" s="654">
        <f>SUM(G86:G87)</f>
        <v>3452782467.27</v>
      </c>
      <c r="H88" s="650">
        <f>SUM(H85:H87)</f>
        <v>5150401484</v>
      </c>
      <c r="I88" s="701">
        <f>SUM(I85:I87)</f>
        <v>5866059309.6199999</v>
      </c>
      <c r="J88" s="650">
        <f>SUM(J85:J87)</f>
        <v>8551412190.5100002</v>
      </c>
      <c r="K88" s="654">
        <f t="shared" ref="K88:N88" si="10">SUM(K85:K87)</f>
        <v>3401010706.5100002</v>
      </c>
      <c r="L88" s="634">
        <f t="shared" si="10"/>
        <v>0</v>
      </c>
      <c r="M88" s="527">
        <f t="shared" si="10"/>
        <v>0</v>
      </c>
      <c r="N88" s="528">
        <f t="shared" si="10"/>
        <v>0</v>
      </c>
    </row>
    <row r="89" spans="1:15">
      <c r="F89" s="232"/>
      <c r="G89" s="651"/>
      <c r="H89" s="647"/>
      <c r="I89" s="696" t="s">
        <v>18</v>
      </c>
      <c r="J89" s="647"/>
      <c r="K89" s="647"/>
      <c r="L89" s="230"/>
      <c r="M89" s="230"/>
      <c r="N89" s="231"/>
    </row>
    <row r="90" spans="1:15" ht="26.1">
      <c r="F90" s="513" t="s">
        <v>148</v>
      </c>
      <c r="G90" s="651"/>
      <c r="H90" s="647"/>
      <c r="I90" s="696"/>
      <c r="J90" s="647"/>
      <c r="K90" s="647"/>
      <c r="L90" s="230"/>
      <c r="M90" s="230"/>
      <c r="N90" s="231"/>
    </row>
    <row r="91" spans="1:15" ht="12.95" thickBot="1">
      <c r="A91" s="493">
        <v>19000</v>
      </c>
      <c r="B91" s="514" t="s">
        <v>89</v>
      </c>
      <c r="C91" s="494">
        <v>12</v>
      </c>
      <c r="D91" s="494">
        <v>99</v>
      </c>
      <c r="E91" s="494">
        <v>99</v>
      </c>
      <c r="F91" s="232" t="s">
        <v>116</v>
      </c>
      <c r="G91" s="647">
        <v>651427.57999999996</v>
      </c>
      <c r="H91" s="647">
        <v>1501811.32</v>
      </c>
      <c r="I91" s="696">
        <f>'[2]To date'!$M$99+'SUMMARY SHEET AUGUST -DECEMBER'!H97</f>
        <v>24621367.539999999</v>
      </c>
      <c r="J91" s="647">
        <v>970415.39</v>
      </c>
      <c r="K91" s="647">
        <f>J91-H91</f>
        <v>-531395.93000000005</v>
      </c>
      <c r="L91" s="379"/>
      <c r="M91" s="379"/>
      <c r="N91" s="529"/>
    </row>
    <row r="92" spans="1:15" s="517" customFormat="1" ht="26.45" thickBot="1">
      <c r="A92" s="516"/>
      <c r="F92" s="521" t="s">
        <v>149</v>
      </c>
      <c r="G92" s="653">
        <f>G91</f>
        <v>651427.57999999996</v>
      </c>
      <c r="H92" s="653">
        <f>H91</f>
        <v>1501811.32</v>
      </c>
      <c r="I92" s="700">
        <f>SUM(I91)</f>
        <v>24621367.539999999</v>
      </c>
      <c r="J92" s="653">
        <f>SUM(J91)</f>
        <v>970415.39</v>
      </c>
      <c r="K92" s="653">
        <f t="shared" ref="K92:N92" si="11">SUM(K91)</f>
        <v>-531395.93000000005</v>
      </c>
      <c r="L92" s="633">
        <f t="shared" si="11"/>
        <v>0</v>
      </c>
      <c r="M92" s="186">
        <f t="shared" si="11"/>
        <v>0</v>
      </c>
      <c r="N92" s="237">
        <f t="shared" si="11"/>
        <v>0</v>
      </c>
    </row>
    <row r="93" spans="1:15">
      <c r="F93" s="232"/>
      <c r="G93" s="651"/>
      <c r="H93" s="647"/>
      <c r="I93" s="696" t="s">
        <v>18</v>
      </c>
      <c r="J93" s="647"/>
      <c r="K93" s="647"/>
      <c r="L93" s="230"/>
      <c r="M93" s="230"/>
      <c r="N93" s="231"/>
    </row>
    <row r="94" spans="1:15" ht="12.95">
      <c r="F94" s="513" t="s">
        <v>150</v>
      </c>
      <c r="G94" s="651"/>
      <c r="H94" s="647"/>
      <c r="I94" s="696"/>
      <c r="J94" s="647"/>
      <c r="K94" s="647"/>
      <c r="L94" s="230"/>
      <c r="M94" s="230"/>
      <c r="N94" s="231"/>
    </row>
    <row r="95" spans="1:15">
      <c r="A95" s="493">
        <v>19047</v>
      </c>
      <c r="B95" s="514" t="s">
        <v>89</v>
      </c>
      <c r="C95" s="494">
        <v>12</v>
      </c>
      <c r="D95" s="494">
        <v>99</v>
      </c>
      <c r="E95" s="494">
        <v>99</v>
      </c>
      <c r="F95" s="233" t="s">
        <v>151</v>
      </c>
      <c r="G95" s="651"/>
      <c r="H95" s="647"/>
      <c r="I95" s="696">
        <f>'[2]To date'!$I$109</f>
        <v>195254476</v>
      </c>
      <c r="J95" s="647"/>
      <c r="K95" s="647"/>
      <c r="L95" s="230"/>
      <c r="M95" s="230"/>
      <c r="N95" s="231"/>
    </row>
    <row r="96" spans="1:15">
      <c r="A96" s="493">
        <v>19047</v>
      </c>
      <c r="B96" s="514" t="s">
        <v>89</v>
      </c>
      <c r="C96" s="494">
        <v>12</v>
      </c>
      <c r="D96" s="494">
        <v>17</v>
      </c>
      <c r="E96" s="494">
        <v>28</v>
      </c>
      <c r="F96" s="232" t="s">
        <v>152</v>
      </c>
      <c r="G96" s="647"/>
      <c r="H96" s="647">
        <v>62856000</v>
      </c>
      <c r="I96" s="696"/>
      <c r="J96" s="647">
        <v>89631000</v>
      </c>
      <c r="K96" s="647"/>
      <c r="L96" s="230"/>
      <c r="M96" s="230"/>
      <c r="N96" s="231"/>
    </row>
    <row r="97" spans="1:14" ht="24.95">
      <c r="A97" s="493">
        <v>19047</v>
      </c>
      <c r="B97" s="514" t="s">
        <v>89</v>
      </c>
      <c r="C97" s="494">
        <v>12</v>
      </c>
      <c r="D97" s="494">
        <v>10</v>
      </c>
      <c r="E97" s="514" t="s">
        <v>100</v>
      </c>
      <c r="F97" s="530" t="s">
        <v>153</v>
      </c>
      <c r="G97" s="647">
        <v>68060177.409999996</v>
      </c>
      <c r="H97" s="647">
        <v>125924000</v>
      </c>
      <c r="I97" s="696">
        <f>'[2]To date'!$M$111</f>
        <v>58690498.18</v>
      </c>
      <c r="J97" s="647">
        <v>178000000</v>
      </c>
      <c r="K97" s="647">
        <f t="shared" ref="K97:K102" si="12">J97-H97</f>
        <v>52076000</v>
      </c>
      <c r="L97" s="230"/>
      <c r="M97" s="230"/>
      <c r="N97" s="231"/>
    </row>
    <row r="98" spans="1:14">
      <c r="A98" s="493">
        <v>19047</v>
      </c>
      <c r="B98" s="514" t="s">
        <v>89</v>
      </c>
      <c r="C98" s="494">
        <v>12</v>
      </c>
      <c r="D98" s="494">
        <v>10</v>
      </c>
      <c r="E98" s="514" t="s">
        <v>102</v>
      </c>
      <c r="F98" s="232" t="s">
        <v>154</v>
      </c>
      <c r="G98" s="647">
        <v>8802505.9299999997</v>
      </c>
      <c r="H98" s="647">
        <v>31559000</v>
      </c>
      <c r="I98" s="696">
        <f>'[2]To date'!$M$112</f>
        <v>303643.75</v>
      </c>
      <c r="J98" s="647">
        <v>35637000</v>
      </c>
      <c r="K98" s="647">
        <f t="shared" si="12"/>
        <v>4078000</v>
      </c>
      <c r="L98" s="230"/>
      <c r="M98" s="230"/>
      <c r="N98" s="231"/>
    </row>
    <row r="99" spans="1:14">
      <c r="A99" s="493">
        <v>19047</v>
      </c>
      <c r="B99" s="514" t="s">
        <v>89</v>
      </c>
      <c r="C99" s="494">
        <v>12</v>
      </c>
      <c r="D99" s="494">
        <v>10</v>
      </c>
      <c r="E99" s="514" t="s">
        <v>155</v>
      </c>
      <c r="F99" s="232" t="s">
        <v>156</v>
      </c>
      <c r="G99" s="647">
        <v>8113455.3499999996</v>
      </c>
      <c r="H99" s="647">
        <v>0</v>
      </c>
      <c r="I99" s="696">
        <v>0</v>
      </c>
      <c r="J99" s="647">
        <v>0</v>
      </c>
      <c r="K99" s="647">
        <f t="shared" si="12"/>
        <v>0</v>
      </c>
      <c r="L99" s="230"/>
      <c r="M99" s="230"/>
      <c r="N99" s="231"/>
    </row>
    <row r="100" spans="1:14">
      <c r="A100" s="493">
        <v>19047</v>
      </c>
      <c r="B100" s="514" t="s">
        <v>89</v>
      </c>
      <c r="C100" s="494">
        <v>12</v>
      </c>
      <c r="D100" s="494">
        <v>16</v>
      </c>
      <c r="E100" s="494">
        <v>11</v>
      </c>
      <c r="F100" s="232" t="s">
        <v>157</v>
      </c>
      <c r="G100" s="647">
        <v>6000</v>
      </c>
      <c r="H100" s="647">
        <v>0</v>
      </c>
      <c r="I100" s="696">
        <f>'[2]To date'!$M$113</f>
        <v>7623915.6600000001</v>
      </c>
      <c r="J100" s="647">
        <v>0</v>
      </c>
      <c r="K100" s="647">
        <f t="shared" si="12"/>
        <v>0</v>
      </c>
      <c r="L100" s="230"/>
      <c r="M100" s="230"/>
      <c r="N100" s="231"/>
    </row>
    <row r="101" spans="1:14">
      <c r="A101" s="493">
        <v>19047</v>
      </c>
      <c r="B101" s="514" t="s">
        <v>89</v>
      </c>
      <c r="C101" s="494">
        <v>12</v>
      </c>
      <c r="D101" s="494">
        <v>99</v>
      </c>
      <c r="E101" s="494">
        <v>99</v>
      </c>
      <c r="F101" s="232" t="s">
        <v>158</v>
      </c>
      <c r="G101" s="647">
        <v>8031.4</v>
      </c>
      <c r="H101" s="647">
        <v>274716000</v>
      </c>
      <c r="I101" s="696">
        <v>2500</v>
      </c>
      <c r="J101" s="647">
        <v>24849000</v>
      </c>
      <c r="K101" s="647">
        <f t="shared" si="12"/>
        <v>-249867000</v>
      </c>
      <c r="L101" s="230"/>
      <c r="M101" s="230"/>
      <c r="N101" s="231"/>
    </row>
    <row r="102" spans="1:14" s="519" customFormat="1" ht="26.1" thickBot="1">
      <c r="A102" s="493">
        <v>19047</v>
      </c>
      <c r="B102" s="514" t="s">
        <v>89</v>
      </c>
      <c r="C102" s="494">
        <v>12</v>
      </c>
      <c r="D102" s="494">
        <v>99</v>
      </c>
      <c r="E102" s="494">
        <v>99</v>
      </c>
      <c r="F102" s="232" t="s">
        <v>159</v>
      </c>
      <c r="G102" s="647">
        <v>423989313.33999997</v>
      </c>
      <c r="H102" s="647">
        <v>216607000</v>
      </c>
      <c r="I102" s="696"/>
      <c r="J102" s="647">
        <v>280318000</v>
      </c>
      <c r="K102" s="647">
        <f t="shared" si="12"/>
        <v>63711000</v>
      </c>
      <c r="L102" s="523"/>
      <c r="M102" s="523"/>
      <c r="N102" s="531"/>
    </row>
    <row r="103" spans="1:14" s="519" customFormat="1" ht="13.5" thickBot="1">
      <c r="A103" s="516"/>
      <c r="B103" s="525"/>
      <c r="C103" s="517"/>
      <c r="D103" s="517"/>
      <c r="E103" s="517"/>
      <c r="F103" s="521" t="s">
        <v>160</v>
      </c>
      <c r="G103" s="653">
        <f>G102+G101+G100+G99+G98+G97</f>
        <v>508979483.42999995</v>
      </c>
      <c r="H103" s="653">
        <f>SUM(H96:H102)</f>
        <v>711662000</v>
      </c>
      <c r="I103" s="700">
        <f>SUM(I95:I102)</f>
        <v>261875033.59</v>
      </c>
      <c r="J103" s="659">
        <f>SUM(J95:J102)</f>
        <v>608435000</v>
      </c>
      <c r="K103" s="653">
        <f t="shared" ref="K103:N103" si="13">SUM(K95:K102)</f>
        <v>-130002000</v>
      </c>
      <c r="L103" s="633">
        <f t="shared" si="13"/>
        <v>0</v>
      </c>
      <c r="M103" s="186">
        <f t="shared" si="13"/>
        <v>0</v>
      </c>
      <c r="N103" s="237">
        <f t="shared" si="13"/>
        <v>0</v>
      </c>
    </row>
    <row r="104" spans="1:14">
      <c r="B104" s="514"/>
      <c r="F104" s="232"/>
      <c r="G104" s="651"/>
      <c r="H104" s="647"/>
      <c r="I104" s="696" t="s">
        <v>18</v>
      </c>
      <c r="J104" s="647"/>
      <c r="K104" s="647"/>
      <c r="L104" s="230"/>
      <c r="M104" s="230"/>
      <c r="N104" s="231"/>
    </row>
    <row r="105" spans="1:14">
      <c r="B105" s="514"/>
      <c r="F105" s="233"/>
      <c r="G105" s="651"/>
      <c r="H105" s="647" t="s">
        <v>18</v>
      </c>
      <c r="I105" s="696" t="s">
        <v>18</v>
      </c>
      <c r="J105" s="647" t="s">
        <v>18</v>
      </c>
      <c r="K105" s="647"/>
      <c r="L105" s="230"/>
      <c r="M105" s="230"/>
      <c r="N105" s="231"/>
    </row>
    <row r="106" spans="1:14" ht="26.1">
      <c r="B106" s="514"/>
      <c r="F106" s="229" t="s">
        <v>161</v>
      </c>
      <c r="G106" s="651"/>
      <c r="H106" s="647"/>
      <c r="I106" s="696" t="s">
        <v>18</v>
      </c>
      <c r="J106" s="647"/>
      <c r="K106" s="647"/>
      <c r="L106" s="230"/>
      <c r="M106" s="230"/>
      <c r="N106" s="231"/>
    </row>
    <row r="107" spans="1:14" ht="24.95">
      <c r="A107" s="520" t="s">
        <v>162</v>
      </c>
      <c r="B107" s="514" t="s">
        <v>89</v>
      </c>
      <c r="C107" s="494">
        <v>12</v>
      </c>
      <c r="D107" s="514" t="s">
        <v>110</v>
      </c>
      <c r="E107" s="532">
        <v>17</v>
      </c>
      <c r="F107" s="232" t="s">
        <v>163</v>
      </c>
      <c r="G107" s="647">
        <v>159603121.56</v>
      </c>
      <c r="H107" s="647">
        <v>474320124</v>
      </c>
      <c r="I107" s="696">
        <f>'[2]To date'!$M$132+'SUMMARY SHEET AUGUST -DECEMBER'!H130</f>
        <v>246590192.66999999</v>
      </c>
      <c r="J107" s="647">
        <v>461751612</v>
      </c>
      <c r="K107" s="647">
        <f t="shared" ref="K107:K119" si="14">J107-H107</f>
        <v>-12568512</v>
      </c>
      <c r="L107" s="230">
        <f>SUM(J107:J107)</f>
        <v>461751612</v>
      </c>
      <c r="M107" s="230" t="e">
        <f>#REF!-#REF!</f>
        <v>#REF!</v>
      </c>
      <c r="N107" s="231"/>
    </row>
    <row r="108" spans="1:14" ht="24.95">
      <c r="A108" s="520" t="s">
        <v>162</v>
      </c>
      <c r="B108" s="514" t="s">
        <v>89</v>
      </c>
      <c r="C108" s="494">
        <v>12</v>
      </c>
      <c r="D108" s="514" t="s">
        <v>100</v>
      </c>
      <c r="E108" s="533" t="s">
        <v>110</v>
      </c>
      <c r="F108" s="232" t="s">
        <v>164</v>
      </c>
      <c r="G108" s="647">
        <v>54575088861.599998</v>
      </c>
      <c r="H108" s="647">
        <v>14759380000</v>
      </c>
      <c r="I108" s="696">
        <f>'[2]To date'!$M$133+'SUMMARY SHEET AUGUST -DECEMBER'!H131</f>
        <v>12129485826.280001</v>
      </c>
      <c r="J108" s="679">
        <v>16649170000</v>
      </c>
      <c r="K108" s="647">
        <f t="shared" si="14"/>
        <v>1889790000</v>
      </c>
      <c r="L108" s="230">
        <f>SUM(J108:J108)</f>
        <v>16649170000</v>
      </c>
      <c r="M108" s="230" t="e">
        <f>#REF!-#REF!</f>
        <v>#REF!</v>
      </c>
      <c r="N108" s="231"/>
    </row>
    <row r="109" spans="1:14">
      <c r="A109" s="520" t="s">
        <v>162</v>
      </c>
      <c r="B109" s="514" t="s">
        <v>89</v>
      </c>
      <c r="C109" s="494">
        <v>12</v>
      </c>
      <c r="D109" s="494">
        <v>99</v>
      </c>
      <c r="E109" s="514" t="s">
        <v>94</v>
      </c>
      <c r="F109" s="232" t="s">
        <v>165</v>
      </c>
      <c r="G109" s="647">
        <v>324113.03000000003</v>
      </c>
      <c r="H109" s="647">
        <v>33743000</v>
      </c>
      <c r="I109" s="696"/>
      <c r="J109" s="647">
        <v>75000000</v>
      </c>
      <c r="K109" s="647">
        <f t="shared" si="14"/>
        <v>41257000</v>
      </c>
      <c r="L109" s="230"/>
      <c r="M109" s="230"/>
      <c r="N109" s="231"/>
    </row>
    <row r="110" spans="1:14">
      <c r="A110" s="520" t="s">
        <v>162</v>
      </c>
      <c r="B110" s="514" t="s">
        <v>89</v>
      </c>
      <c r="C110" s="494">
        <v>12</v>
      </c>
      <c r="D110" s="514" t="s">
        <v>100</v>
      </c>
      <c r="E110" s="534" t="s">
        <v>111</v>
      </c>
      <c r="F110" s="232" t="s">
        <v>166</v>
      </c>
      <c r="G110" s="647"/>
      <c r="H110" s="679">
        <v>1100000000</v>
      </c>
      <c r="I110" s="696"/>
      <c r="J110" s="680"/>
      <c r="K110" s="647">
        <f t="shared" si="14"/>
        <v>-1100000000</v>
      </c>
      <c r="L110" s="230"/>
      <c r="M110" s="230"/>
      <c r="N110" s="231"/>
    </row>
    <row r="111" spans="1:14">
      <c r="A111" s="520" t="s">
        <v>162</v>
      </c>
      <c r="B111" s="514" t="s">
        <v>89</v>
      </c>
      <c r="C111" s="494">
        <v>12</v>
      </c>
      <c r="D111" s="494">
        <v>99</v>
      </c>
      <c r="E111" s="514" t="s">
        <v>155</v>
      </c>
      <c r="F111" s="232" t="s">
        <v>167</v>
      </c>
      <c r="G111" s="647">
        <v>964837.5</v>
      </c>
      <c r="H111" s="647">
        <v>2288000</v>
      </c>
      <c r="I111" s="696">
        <f>188310+105442.5+207337.5+'SUMMARY SHEET AUGUST -DECEMBER'!H134</f>
        <v>788392.5</v>
      </c>
      <c r="J111" s="647">
        <v>2516800</v>
      </c>
      <c r="K111" s="647">
        <f t="shared" si="14"/>
        <v>228800</v>
      </c>
      <c r="L111" s="230">
        <f>SUM(L107:L109)</f>
        <v>17110921612</v>
      </c>
      <c r="M111" s="230" t="e">
        <f>SUM(M107:M108)</f>
        <v>#REF!</v>
      </c>
      <c r="N111" s="231"/>
    </row>
    <row r="112" spans="1:14" ht="24.95">
      <c r="A112" s="520" t="s">
        <v>162</v>
      </c>
      <c r="B112" s="514" t="s">
        <v>89</v>
      </c>
      <c r="C112" s="494">
        <v>12</v>
      </c>
      <c r="D112" s="514" t="s">
        <v>110</v>
      </c>
      <c r="E112" s="514">
        <v>19</v>
      </c>
      <c r="F112" s="232" t="s">
        <v>168</v>
      </c>
      <c r="G112" s="647"/>
      <c r="H112" s="647"/>
      <c r="I112" s="696" t="s">
        <v>18</v>
      </c>
      <c r="J112" s="647">
        <v>0</v>
      </c>
      <c r="K112" s="647">
        <f t="shared" si="14"/>
        <v>0</v>
      </c>
      <c r="L112" s="230"/>
      <c r="M112" s="230"/>
      <c r="N112" s="231"/>
    </row>
    <row r="113" spans="1:15">
      <c r="A113" s="520" t="s">
        <v>162</v>
      </c>
      <c r="B113" s="514" t="s">
        <v>89</v>
      </c>
      <c r="C113" s="494">
        <v>12</v>
      </c>
      <c r="D113" s="514" t="s">
        <v>91</v>
      </c>
      <c r="E113" s="494">
        <v>10</v>
      </c>
      <c r="F113" s="232" t="s">
        <v>169</v>
      </c>
      <c r="G113" s="647"/>
      <c r="H113" s="647"/>
      <c r="I113" s="696">
        <v>0</v>
      </c>
      <c r="J113" s="647">
        <v>0</v>
      </c>
      <c r="K113" s="647">
        <f t="shared" si="14"/>
        <v>0</v>
      </c>
      <c r="L113" s="230"/>
      <c r="M113" s="230"/>
      <c r="N113" s="231"/>
    </row>
    <row r="114" spans="1:15">
      <c r="A114" s="520" t="s">
        <v>162</v>
      </c>
      <c r="B114" s="514" t="s">
        <v>89</v>
      </c>
      <c r="C114" s="494">
        <v>12</v>
      </c>
      <c r="D114" s="514" t="s">
        <v>110</v>
      </c>
      <c r="E114" s="494">
        <v>16</v>
      </c>
      <c r="F114" s="232" t="s">
        <v>170</v>
      </c>
      <c r="G114" s="647">
        <v>0</v>
      </c>
      <c r="H114" s="647">
        <v>1293365</v>
      </c>
      <c r="I114" s="696">
        <v>0</v>
      </c>
      <c r="J114" s="647">
        <v>2774420</v>
      </c>
      <c r="K114" s="647">
        <f t="shared" si="14"/>
        <v>1481055</v>
      </c>
      <c r="L114" s="230">
        <f>SUM(J114:J114)</f>
        <v>2774420</v>
      </c>
      <c r="M114" s="230" t="e">
        <f>SUM(M111,M76)</f>
        <v>#REF!</v>
      </c>
      <c r="N114" s="231"/>
    </row>
    <row r="115" spans="1:15">
      <c r="A115" s="520" t="s">
        <v>162</v>
      </c>
      <c r="B115" s="514" t="s">
        <v>89</v>
      </c>
      <c r="C115" s="494">
        <v>12</v>
      </c>
      <c r="D115" s="514" t="s">
        <v>110</v>
      </c>
      <c r="E115" s="494">
        <v>18</v>
      </c>
      <c r="F115" s="232" t="s">
        <v>171</v>
      </c>
      <c r="G115" s="647">
        <v>35272703.799999997</v>
      </c>
      <c r="H115" s="647">
        <v>39903593</v>
      </c>
      <c r="I115" s="696">
        <f>'SUMMARY SHEET AUGUST -DECEMBER'!H138</f>
        <v>4542000</v>
      </c>
      <c r="J115" s="647">
        <v>47602060</v>
      </c>
      <c r="K115" s="647">
        <f t="shared" si="14"/>
        <v>7698467</v>
      </c>
      <c r="L115" s="230"/>
      <c r="M115" s="230"/>
      <c r="N115" s="231"/>
    </row>
    <row r="116" spans="1:15">
      <c r="A116" s="520" t="s">
        <v>162</v>
      </c>
      <c r="B116" s="514" t="s">
        <v>89</v>
      </c>
      <c r="C116" s="494">
        <v>12</v>
      </c>
      <c r="D116" s="514" t="s">
        <v>155</v>
      </c>
      <c r="E116" s="494">
        <v>21</v>
      </c>
      <c r="F116" s="232" t="s">
        <v>172</v>
      </c>
      <c r="G116" s="647"/>
      <c r="H116" s="647">
        <v>28600000</v>
      </c>
      <c r="I116" s="696">
        <f>'[2]To date'!$M$141+'SUMMARY SHEET AUGUST -DECEMBER'!H139</f>
        <v>5057814.95</v>
      </c>
      <c r="J116" s="647">
        <v>296550000</v>
      </c>
      <c r="K116" s="647">
        <f t="shared" si="14"/>
        <v>267950000</v>
      </c>
      <c r="L116" s="230"/>
      <c r="M116" s="230"/>
      <c r="N116" s="231"/>
    </row>
    <row r="117" spans="1:15">
      <c r="A117" s="520" t="s">
        <v>162</v>
      </c>
      <c r="B117" s="514" t="s">
        <v>89</v>
      </c>
      <c r="C117" s="494">
        <v>12</v>
      </c>
      <c r="D117" s="514" t="s">
        <v>173</v>
      </c>
      <c r="E117" s="494">
        <v>23</v>
      </c>
      <c r="F117" s="232" t="s">
        <v>174</v>
      </c>
      <c r="G117" s="647">
        <v>15241434.810000001</v>
      </c>
      <c r="H117" s="647">
        <v>24000000</v>
      </c>
      <c r="I117" s="696">
        <f>'[2]To date'!$M$142+'SUMMARY SHEET AUGUST -DECEMBER'!H140</f>
        <v>2251316.2999999998</v>
      </c>
      <c r="J117" s="647">
        <v>24000000</v>
      </c>
      <c r="K117" s="647">
        <f t="shared" si="14"/>
        <v>0</v>
      </c>
      <c r="L117" s="230"/>
      <c r="M117" s="230"/>
      <c r="N117" s="231"/>
    </row>
    <row r="118" spans="1:15">
      <c r="A118" s="520" t="s">
        <v>162</v>
      </c>
      <c r="B118" s="514" t="s">
        <v>89</v>
      </c>
      <c r="C118" s="494">
        <v>12</v>
      </c>
      <c r="D118" s="514" t="s">
        <v>155</v>
      </c>
      <c r="E118" s="494">
        <v>99</v>
      </c>
      <c r="F118" s="232" t="s">
        <v>116</v>
      </c>
      <c r="G118" s="647">
        <v>3781716.92</v>
      </c>
      <c r="H118" s="647">
        <v>28600000</v>
      </c>
      <c r="I118" s="702">
        <f>'[2]To date'!$M$143+'SUMMARY SHEET AUGUST -DECEMBER'!H141</f>
        <v>1767773281.0999999</v>
      </c>
      <c r="J118" s="647">
        <v>31460000.000000004</v>
      </c>
      <c r="K118" s="647">
        <f t="shared" si="14"/>
        <v>2860000.0000000037</v>
      </c>
      <c r="L118" s="230">
        <f>SUM(J118:J118)</f>
        <v>31460000.000000004</v>
      </c>
      <c r="M118" s="230" t="e">
        <f>#REF!-#REF!</f>
        <v>#REF!</v>
      </c>
      <c r="N118" s="231"/>
    </row>
    <row r="119" spans="1:15" ht="12.95" thickBot="1">
      <c r="A119" s="520" t="s">
        <v>162</v>
      </c>
      <c r="B119" s="514" t="s">
        <v>89</v>
      </c>
      <c r="C119" s="494">
        <v>12</v>
      </c>
      <c r="D119" s="514" t="s">
        <v>100</v>
      </c>
      <c r="E119" s="535">
        <v>19</v>
      </c>
      <c r="F119" s="232" t="s">
        <v>175</v>
      </c>
      <c r="G119" s="647">
        <v>5550148.8099999996</v>
      </c>
      <c r="H119" s="647">
        <v>9176250</v>
      </c>
      <c r="I119" s="696">
        <f>'[2]To date'!$M$144+'SUMMARY SHEET AUGUST -DECEMBER'!H142</f>
        <v>3370587.9299999997</v>
      </c>
      <c r="J119" s="647">
        <v>20000000</v>
      </c>
      <c r="K119" s="647">
        <f t="shared" si="14"/>
        <v>10823750</v>
      </c>
      <c r="L119" s="230">
        <f>SUM(J119:J119)</f>
        <v>20000000</v>
      </c>
      <c r="M119" s="230" t="e">
        <f>#REF!-#REF!</f>
        <v>#REF!</v>
      </c>
      <c r="N119" s="231"/>
    </row>
    <row r="120" spans="1:15" ht="26.45" thickBot="1">
      <c r="F120" s="234" t="s">
        <v>176</v>
      </c>
      <c r="G120" s="653">
        <f>G119+G118+G117+G115+G111+G109+G108+G107</f>
        <v>54795826938.029999</v>
      </c>
      <c r="H120" s="653">
        <f t="shared" ref="H120:N120" si="15">SUM(H107:H119)</f>
        <v>16501304332</v>
      </c>
      <c r="I120" s="700">
        <f t="shared" si="15"/>
        <v>14159859411.730001</v>
      </c>
      <c r="J120" s="653">
        <f t="shared" si="15"/>
        <v>17610824892</v>
      </c>
      <c r="K120" s="653">
        <f t="shared" si="15"/>
        <v>1109520560</v>
      </c>
      <c r="L120" s="633">
        <f t="shared" si="15"/>
        <v>34276077644</v>
      </c>
      <c r="M120" s="186" t="e">
        <f t="shared" si="15"/>
        <v>#REF!</v>
      </c>
      <c r="N120" s="237">
        <f t="shared" si="15"/>
        <v>0</v>
      </c>
    </row>
    <row r="121" spans="1:15">
      <c r="F121" s="232"/>
      <c r="G121" s="651"/>
      <c r="H121" s="647"/>
      <c r="I121" s="695" t="str">
        <f>[3]new!U132</f>
        <v xml:space="preserve"> </v>
      </c>
      <c r="J121" s="647"/>
      <c r="K121" s="647"/>
      <c r="L121" s="230"/>
      <c r="M121" s="230"/>
      <c r="N121" s="231"/>
    </row>
    <row r="122" spans="1:15" ht="12.95">
      <c r="E122" s="532"/>
      <c r="F122" s="229" t="s">
        <v>177</v>
      </c>
      <c r="G122" s="651"/>
      <c r="H122" s="647"/>
      <c r="I122" s="696"/>
      <c r="J122" s="647">
        <f>H122*3%+H122</f>
        <v>0</v>
      </c>
      <c r="K122" s="647"/>
      <c r="L122" s="230">
        <f>SUM(J122:J122)</f>
        <v>0</v>
      </c>
      <c r="M122" s="230" t="e">
        <f>#REF!-#REF!</f>
        <v>#REF!</v>
      </c>
      <c r="N122" s="231"/>
    </row>
    <row r="123" spans="1:15">
      <c r="A123" s="493">
        <v>20011</v>
      </c>
      <c r="B123" s="514" t="s">
        <v>89</v>
      </c>
      <c r="C123" s="494">
        <v>12</v>
      </c>
      <c r="D123" s="514" t="s">
        <v>100</v>
      </c>
      <c r="E123" s="534" t="s">
        <v>91</v>
      </c>
      <c r="F123" s="233" t="s">
        <v>178</v>
      </c>
      <c r="G123" s="647">
        <v>2210195023.8600001</v>
      </c>
      <c r="H123" s="647">
        <v>1192664773.25</v>
      </c>
      <c r="I123" s="696">
        <f>774204869.39+'SUMMARY SHEET AUGUST -DECEMBER'!H146</f>
        <v>945984062.58999991</v>
      </c>
      <c r="J123" s="679">
        <f>2333000000</f>
        <v>2333000000</v>
      </c>
      <c r="K123" s="647">
        <f t="shared" ref="K123:K138" si="16">J123-H123</f>
        <v>1140335226.75</v>
      </c>
      <c r="L123" s="230"/>
      <c r="M123" s="230"/>
      <c r="N123" s="231"/>
    </row>
    <row r="124" spans="1:15" ht="24.95">
      <c r="A124" s="493">
        <v>20011</v>
      </c>
      <c r="B124" s="514" t="s">
        <v>89</v>
      </c>
      <c r="C124" s="494">
        <v>12</v>
      </c>
      <c r="D124" s="514" t="s">
        <v>100</v>
      </c>
      <c r="E124" s="514" t="s">
        <v>94</v>
      </c>
      <c r="F124" s="232" t="s">
        <v>179</v>
      </c>
      <c r="G124" s="647">
        <v>2210172.92</v>
      </c>
      <c r="H124" s="647">
        <v>2781461.38</v>
      </c>
      <c r="I124" s="696">
        <f>562305842.74+'SUMMARY SHEET AUGUST -DECEMBER'!H147+311199414.47+333277559.87+372850581.64+439573826.73+455902529.3</f>
        <v>2475436389.9900002</v>
      </c>
      <c r="J124" s="647">
        <v>2500190753.8899999</v>
      </c>
      <c r="K124" s="647">
        <f t="shared" si="16"/>
        <v>2497409292.5099998</v>
      </c>
      <c r="L124" s="230"/>
      <c r="M124" s="230"/>
      <c r="N124" s="231"/>
      <c r="O124" s="536"/>
    </row>
    <row r="125" spans="1:15" s="722" customFormat="1" ht="24.95">
      <c r="A125" s="716">
        <v>20011</v>
      </c>
      <c r="B125" s="723" t="s">
        <v>89</v>
      </c>
      <c r="C125" s="506">
        <v>12</v>
      </c>
      <c r="D125" s="723" t="s">
        <v>100</v>
      </c>
      <c r="E125" s="723" t="s">
        <v>100</v>
      </c>
      <c r="F125" s="671" t="s">
        <v>180</v>
      </c>
      <c r="G125" s="718">
        <v>123.44</v>
      </c>
      <c r="H125" s="718">
        <v>322351405.27999997</v>
      </c>
      <c r="I125" s="719">
        <f>66045666.3+'SUMMARY SHEET AUGUST -DECEMBER'!H148</f>
        <v>600370988.25999987</v>
      </c>
      <c r="J125" s="718">
        <v>756587565</v>
      </c>
      <c r="K125" s="718">
        <f t="shared" si="16"/>
        <v>434236159.72000003</v>
      </c>
      <c r="L125" s="720"/>
      <c r="M125" s="720"/>
      <c r="N125" s="721"/>
      <c r="O125" s="724">
        <f>I124*1%+I124</f>
        <v>2500190753.8899002</v>
      </c>
    </row>
    <row r="126" spans="1:15" ht="24.95">
      <c r="A126" s="493">
        <v>20011</v>
      </c>
      <c r="B126" s="514" t="s">
        <v>89</v>
      </c>
      <c r="C126" s="494">
        <v>12</v>
      </c>
      <c r="D126" s="514" t="s">
        <v>100</v>
      </c>
      <c r="E126" s="514" t="s">
        <v>102</v>
      </c>
      <c r="F126" s="233" t="s">
        <v>181</v>
      </c>
      <c r="G126" s="647">
        <v>4173303.69</v>
      </c>
      <c r="H126" s="647">
        <v>8375196.2699999996</v>
      </c>
      <c r="I126" s="696">
        <f>938202.14+'SUMMARY SHEET AUGUST -DECEMBER'!H149</f>
        <v>1647024.9100000001</v>
      </c>
      <c r="J126" s="647">
        <f>2456328</f>
        <v>2456328</v>
      </c>
      <c r="K126" s="647">
        <f t="shared" si="16"/>
        <v>-5918868.2699999996</v>
      </c>
      <c r="L126" s="230"/>
      <c r="M126" s="230"/>
      <c r="N126" s="231"/>
    </row>
    <row r="127" spans="1:15">
      <c r="A127" s="493">
        <v>20011</v>
      </c>
      <c r="B127" s="514" t="s">
        <v>89</v>
      </c>
      <c r="C127" s="494">
        <v>12</v>
      </c>
      <c r="D127" s="514" t="s">
        <v>100</v>
      </c>
      <c r="E127" s="514" t="s">
        <v>155</v>
      </c>
      <c r="F127" s="232" t="s">
        <v>182</v>
      </c>
      <c r="G127" s="647">
        <v>492529.12</v>
      </c>
      <c r="H127" s="647">
        <v>9874710.0700000003</v>
      </c>
      <c r="I127" s="696">
        <f>'SUMMARY SHEET AUGUST -DECEMBER'!H150</f>
        <v>121666.4</v>
      </c>
      <c r="J127" s="647">
        <v>658765</v>
      </c>
      <c r="K127" s="647">
        <f t="shared" si="16"/>
        <v>-9215945.0700000003</v>
      </c>
      <c r="L127" s="230"/>
      <c r="M127" s="230"/>
      <c r="N127" s="231"/>
    </row>
    <row r="128" spans="1:15">
      <c r="A128" s="493">
        <v>20011</v>
      </c>
      <c r="B128" s="514" t="s">
        <v>89</v>
      </c>
      <c r="C128" s="494">
        <v>12</v>
      </c>
      <c r="D128" s="514" t="s">
        <v>100</v>
      </c>
      <c r="E128" s="514" t="s">
        <v>110</v>
      </c>
      <c r="F128" s="232" t="s">
        <v>183</v>
      </c>
      <c r="G128" s="647">
        <v>3643610835.6799998</v>
      </c>
      <c r="H128" s="647">
        <v>5093867434.8400002</v>
      </c>
      <c r="I128" s="696">
        <f>'[2]To date'!$M$153+'SUMMARY SHEET AUGUST -DECEMBER'!H151</f>
        <v>1705242391.3600001</v>
      </c>
      <c r="J128" s="679">
        <f>5144400000</f>
        <v>5144400000</v>
      </c>
      <c r="K128" s="647">
        <f t="shared" si="16"/>
        <v>50532565.159999847</v>
      </c>
      <c r="L128" s="230"/>
      <c r="M128" s="230"/>
      <c r="N128" s="231"/>
    </row>
    <row r="129" spans="1:15" ht="24.95">
      <c r="A129" s="493">
        <v>20011</v>
      </c>
      <c r="B129" s="514" t="s">
        <v>89</v>
      </c>
      <c r="C129" s="494">
        <v>12</v>
      </c>
      <c r="D129" s="514" t="s">
        <v>100</v>
      </c>
      <c r="E129" s="514" t="s">
        <v>111</v>
      </c>
      <c r="F129" s="232" t="s">
        <v>184</v>
      </c>
      <c r="G129" s="647">
        <v>1813293552.49</v>
      </c>
      <c r="H129" s="647">
        <v>0</v>
      </c>
      <c r="I129" s="696">
        <f>'[2]To date'!$M$154+'SUMMARY SHEET AUGUST -DECEMBER'!H152+72108951.08</f>
        <v>720160307.17800033</v>
      </c>
      <c r="J129" s="647"/>
      <c r="K129" s="647">
        <f t="shared" si="16"/>
        <v>0</v>
      </c>
      <c r="L129" s="230"/>
      <c r="M129" s="230"/>
      <c r="N129" s="231"/>
    </row>
    <row r="130" spans="1:15" ht="24.95">
      <c r="A130" s="493">
        <v>20011</v>
      </c>
      <c r="B130" s="514" t="s">
        <v>89</v>
      </c>
      <c r="C130" s="494">
        <v>12</v>
      </c>
      <c r="D130" s="514" t="s">
        <v>91</v>
      </c>
      <c r="E130" s="514" t="s">
        <v>102</v>
      </c>
      <c r="F130" s="232" t="s">
        <v>185</v>
      </c>
      <c r="G130" s="647">
        <v>3139705072</v>
      </c>
      <c r="H130" s="647">
        <v>5376502000</v>
      </c>
      <c r="I130" s="703">
        <v>3491874978.5799999</v>
      </c>
      <c r="J130" s="679">
        <f>H130*1.05</f>
        <v>5645327100</v>
      </c>
      <c r="K130" s="647">
        <f t="shared" si="16"/>
        <v>268825100</v>
      </c>
      <c r="L130" s="230"/>
      <c r="M130" s="230"/>
      <c r="N130" s="231"/>
    </row>
    <row r="131" spans="1:15" ht="24.95">
      <c r="A131" s="493">
        <v>20011</v>
      </c>
      <c r="B131" s="514" t="s">
        <v>89</v>
      </c>
      <c r="C131" s="494">
        <v>12</v>
      </c>
      <c r="D131" s="514" t="s">
        <v>91</v>
      </c>
      <c r="E131" s="514" t="s">
        <v>155</v>
      </c>
      <c r="F131" s="232" t="s">
        <v>186</v>
      </c>
      <c r="G131" s="647"/>
      <c r="H131" s="647"/>
      <c r="I131" s="696"/>
      <c r="J131" s="647"/>
      <c r="K131" s="647">
        <f t="shared" si="16"/>
        <v>0</v>
      </c>
      <c r="L131" s="230"/>
      <c r="M131" s="230"/>
      <c r="N131" s="231"/>
    </row>
    <row r="132" spans="1:15" ht="24.95">
      <c r="A132" s="493">
        <v>20011</v>
      </c>
      <c r="B132" s="514" t="s">
        <v>89</v>
      </c>
      <c r="C132" s="494">
        <v>12</v>
      </c>
      <c r="D132" s="514" t="s">
        <v>91</v>
      </c>
      <c r="E132" s="514" t="s">
        <v>110</v>
      </c>
      <c r="F132" s="232" t="s">
        <v>187</v>
      </c>
      <c r="G132" s="647"/>
      <c r="H132" s="647"/>
      <c r="I132" s="696"/>
      <c r="J132" s="647"/>
      <c r="K132" s="647">
        <f t="shared" si="16"/>
        <v>0</v>
      </c>
      <c r="L132" s="230"/>
      <c r="M132" s="230"/>
      <c r="N132" s="231"/>
    </row>
    <row r="133" spans="1:15">
      <c r="A133" s="493">
        <v>20011</v>
      </c>
      <c r="B133" s="514" t="s">
        <v>89</v>
      </c>
      <c r="C133" s="494">
        <v>12</v>
      </c>
      <c r="D133" s="494">
        <v>99</v>
      </c>
      <c r="E133" s="514" t="s">
        <v>102</v>
      </c>
      <c r="F133" s="232" t="s">
        <v>188</v>
      </c>
      <c r="G133" s="647">
        <v>2776771.65</v>
      </c>
      <c r="H133" s="647">
        <v>15862045.74</v>
      </c>
      <c r="I133" s="696">
        <f>2577127.36+'SUMMARY SHEET AUGUST -DECEMBER'!H156</f>
        <v>3152014.66</v>
      </c>
      <c r="J133" s="647">
        <v>43521221.187500007</v>
      </c>
      <c r="K133" s="647">
        <f t="shared" si="16"/>
        <v>27659175.447500005</v>
      </c>
      <c r="L133" s="230"/>
      <c r="M133" s="230"/>
      <c r="N133" s="231"/>
    </row>
    <row r="134" spans="1:15">
      <c r="A134" s="493">
        <v>20011</v>
      </c>
      <c r="B134" s="514" t="s">
        <v>89</v>
      </c>
      <c r="C134" s="494">
        <v>12</v>
      </c>
      <c r="D134" s="494">
        <v>15</v>
      </c>
      <c r="E134" s="514" t="s">
        <v>100</v>
      </c>
      <c r="F134" s="232" t="s">
        <v>189</v>
      </c>
      <c r="G134" s="647">
        <v>360562.16</v>
      </c>
      <c r="H134" s="647">
        <v>394991.72</v>
      </c>
      <c r="I134" s="696"/>
      <c r="J134" s="647">
        <v>717932.45</v>
      </c>
      <c r="K134" s="647">
        <f t="shared" si="16"/>
        <v>322940.73</v>
      </c>
      <c r="L134" s="230"/>
      <c r="M134" s="230"/>
      <c r="N134" s="231"/>
    </row>
    <row r="135" spans="1:15">
      <c r="A135" s="493">
        <v>20011</v>
      </c>
      <c r="B135" s="514" t="s">
        <v>89</v>
      </c>
      <c r="C135" s="494">
        <v>12</v>
      </c>
      <c r="D135" s="494">
        <v>99</v>
      </c>
      <c r="E135" s="514" t="s">
        <v>155</v>
      </c>
      <c r="F135" s="232" t="s">
        <v>190</v>
      </c>
      <c r="G135" s="647">
        <v>257460</v>
      </c>
      <c r="H135" s="647">
        <v>493884</v>
      </c>
      <c r="I135" s="696"/>
      <c r="J135" s="647">
        <v>1458391.9849999999</v>
      </c>
      <c r="K135" s="647">
        <f t="shared" si="16"/>
        <v>964507.98499999987</v>
      </c>
      <c r="L135" s="537"/>
      <c r="M135" s="230"/>
      <c r="N135" s="231"/>
    </row>
    <row r="136" spans="1:15">
      <c r="A136" s="493">
        <v>20011</v>
      </c>
      <c r="B136" s="514" t="s">
        <v>89</v>
      </c>
      <c r="C136" s="494">
        <v>12</v>
      </c>
      <c r="D136" s="494">
        <v>99</v>
      </c>
      <c r="E136" s="514" t="s">
        <v>110</v>
      </c>
      <c r="F136" s="232" t="s">
        <v>191</v>
      </c>
      <c r="G136" s="647">
        <v>12254061.23</v>
      </c>
      <c r="H136" s="647">
        <v>474062.29</v>
      </c>
      <c r="I136" s="696">
        <f>'[2]To date'!$M$161+'SUMMARY SHEET AUGUST -DECEMBER'!H159</f>
        <v>1266565.46</v>
      </c>
      <c r="J136" s="647">
        <v>27205143.299166668</v>
      </c>
      <c r="K136" s="647">
        <f t="shared" si="16"/>
        <v>26731081.009166669</v>
      </c>
      <c r="L136" s="230"/>
      <c r="M136" s="230"/>
      <c r="N136" s="231"/>
    </row>
    <row r="137" spans="1:15">
      <c r="A137" s="493">
        <v>20011</v>
      </c>
      <c r="B137" s="514" t="s">
        <v>89</v>
      </c>
      <c r="C137" s="494">
        <v>12</v>
      </c>
      <c r="D137" s="494">
        <v>17</v>
      </c>
      <c r="E137" s="494">
        <v>14</v>
      </c>
      <c r="F137" s="232" t="s">
        <v>192</v>
      </c>
      <c r="G137" s="647">
        <v>482403.63</v>
      </c>
      <c r="H137" s="647">
        <v>827945.27</v>
      </c>
      <c r="I137" s="696">
        <f>33625+'SUMMARY SHEET AUGUST -DECEMBER'!H160</f>
        <v>151125</v>
      </c>
      <c r="J137" s="647">
        <f>1395423.55166667+20000</f>
        <v>1415423.55166667</v>
      </c>
      <c r="K137" s="647">
        <f t="shared" si="16"/>
        <v>587478.28166666999</v>
      </c>
      <c r="L137" s="230"/>
      <c r="M137" s="230"/>
      <c r="N137" s="231"/>
    </row>
    <row r="138" spans="1:15" ht="14.45">
      <c r="A138" s="493">
        <v>20011</v>
      </c>
      <c r="B138" s="514" t="s">
        <v>89</v>
      </c>
      <c r="C138" s="494">
        <v>12</v>
      </c>
      <c r="D138" s="494">
        <v>99</v>
      </c>
      <c r="E138" s="494">
        <v>99</v>
      </c>
      <c r="F138" s="232" t="s">
        <v>116</v>
      </c>
      <c r="G138" s="647">
        <v>11711597350.59</v>
      </c>
      <c r="H138" s="647">
        <v>13890378188.73</v>
      </c>
      <c r="I138" s="696">
        <f>'[2]To date'!$M$163+'SUMMARY SHEET AUGUST -DECEMBER'!H161+'SUMMARY SHEET AUGUST -DECEMBER'!H227+580000000+701737.75</f>
        <v>3491186853.25</v>
      </c>
      <c r="J138" s="679">
        <f>8890378188.73-1000000000-41583860.22+928117511.76</f>
        <v>8776911840.2699986</v>
      </c>
      <c r="K138" s="647">
        <f t="shared" si="16"/>
        <v>-5113466348.460001</v>
      </c>
      <c r="L138" s="230"/>
      <c r="M138" s="230"/>
      <c r="N138" s="231"/>
      <c r="O138" s="538"/>
    </row>
    <row r="139" spans="1:15" ht="24.95">
      <c r="A139" s="493">
        <v>20011</v>
      </c>
      <c r="B139" s="514" t="s">
        <v>89</v>
      </c>
      <c r="C139" s="494">
        <v>12</v>
      </c>
      <c r="D139" s="514" t="s">
        <v>110</v>
      </c>
      <c r="E139" s="514" t="s">
        <v>91</v>
      </c>
      <c r="F139" s="232" t="s">
        <v>193</v>
      </c>
      <c r="G139" s="647"/>
      <c r="H139" s="647"/>
      <c r="I139" s="696"/>
      <c r="J139" s="647"/>
      <c r="K139" s="647"/>
      <c r="L139" s="230"/>
      <c r="M139" s="230"/>
      <c r="N139" s="231"/>
    </row>
    <row r="140" spans="1:15">
      <c r="A140" s="493">
        <v>20011</v>
      </c>
      <c r="B140" s="514" t="s">
        <v>89</v>
      </c>
      <c r="C140" s="494">
        <v>12</v>
      </c>
      <c r="D140" s="494">
        <v>16</v>
      </c>
      <c r="E140" s="494">
        <v>12</v>
      </c>
      <c r="F140" s="233" t="s">
        <v>194</v>
      </c>
      <c r="G140" s="647"/>
      <c r="H140" s="662"/>
      <c r="I140" s="696"/>
      <c r="J140" s="662"/>
      <c r="K140" s="647"/>
      <c r="L140" s="537"/>
      <c r="M140" s="230"/>
      <c r="N140" s="231"/>
    </row>
    <row r="141" spans="1:15" ht="25.5" thickBot="1">
      <c r="A141" s="493">
        <v>20011</v>
      </c>
      <c r="B141" s="514" t="s">
        <v>89</v>
      </c>
      <c r="C141" s="494">
        <v>12</v>
      </c>
      <c r="D141" s="494">
        <v>16</v>
      </c>
      <c r="E141" s="494">
        <v>13</v>
      </c>
      <c r="F141" s="232" t="s">
        <v>195</v>
      </c>
      <c r="G141" s="715"/>
      <c r="H141" s="662"/>
      <c r="I141" s="704"/>
      <c r="J141" s="662"/>
      <c r="K141" s="647"/>
      <c r="L141" s="230"/>
      <c r="M141" s="230"/>
      <c r="N141" s="231"/>
    </row>
    <row r="142" spans="1:15" ht="26.45" thickBot="1">
      <c r="B142" s="514"/>
      <c r="F142" s="521" t="s">
        <v>196</v>
      </c>
      <c r="G142" s="653">
        <f>G123+G124+G125+G126+G127+G128+G129+G130+G133+G134+G135+G136+G137+G138</f>
        <v>22541409222.459999</v>
      </c>
      <c r="H142" s="653">
        <f>H123+H124+H125+H126+H127+H128+H129+H130+H133+H134+H135+H136+H137+H138</f>
        <v>25914848098.84</v>
      </c>
      <c r="I142" s="700">
        <f>SUM(I123:I141)</f>
        <v>13436594367.638</v>
      </c>
      <c r="J142" s="653">
        <f>SUM(J123:J141)</f>
        <v>25233850464.633331</v>
      </c>
      <c r="K142" s="653">
        <f t="shared" ref="K142:N142" si="17">SUM(K123:K141)</f>
        <v>-680997634.20666885</v>
      </c>
      <c r="L142" s="633">
        <f t="shared" si="17"/>
        <v>0</v>
      </c>
      <c r="M142" s="186">
        <f t="shared" si="17"/>
        <v>0</v>
      </c>
      <c r="N142" s="237">
        <f t="shared" si="17"/>
        <v>0</v>
      </c>
    </row>
    <row r="143" spans="1:15">
      <c r="B143" s="514"/>
      <c r="F143" s="232"/>
      <c r="G143" s="651" t="s">
        <v>18</v>
      </c>
      <c r="H143" s="647"/>
      <c r="I143" s="696" t="s">
        <v>18</v>
      </c>
      <c r="J143" s="647"/>
      <c r="K143" s="647"/>
      <c r="L143" s="230"/>
      <c r="M143" s="230"/>
      <c r="N143" s="231"/>
    </row>
    <row r="144" spans="1:15" ht="12.95">
      <c r="F144" s="229" t="s">
        <v>197</v>
      </c>
      <c r="G144" s="651" t="s">
        <v>18</v>
      </c>
      <c r="H144" s="647"/>
      <c r="I144" s="696"/>
      <c r="J144" s="647"/>
      <c r="K144" s="647"/>
      <c r="L144" s="230"/>
      <c r="M144" s="230"/>
      <c r="N144" s="231"/>
    </row>
    <row r="145" spans="1:14">
      <c r="A145" s="493">
        <v>20012</v>
      </c>
      <c r="B145" s="514" t="s">
        <v>89</v>
      </c>
      <c r="C145" s="494">
        <v>12</v>
      </c>
      <c r="D145" s="494">
        <v>16</v>
      </c>
      <c r="E145" s="494">
        <v>20</v>
      </c>
      <c r="F145" s="232" t="s">
        <v>198</v>
      </c>
      <c r="G145" s="647">
        <v>7640239.6500000004</v>
      </c>
      <c r="H145" s="647">
        <v>10404970.289999999</v>
      </c>
      <c r="I145" s="696">
        <f>'[2]To date'!$M$170+'SUMMARY SHEET AUGUST -DECEMBER'!H168</f>
        <v>20566792.789999999</v>
      </c>
      <c r="J145" s="647">
        <v>10613070</v>
      </c>
      <c r="K145" s="647">
        <f t="shared" ref="K145:K153" si="18">J145-H145</f>
        <v>208099.71000000089</v>
      </c>
      <c r="L145" s="537"/>
      <c r="M145" s="230" t="s">
        <v>18</v>
      </c>
      <c r="N145" s="231"/>
    </row>
    <row r="146" spans="1:14">
      <c r="A146" s="493">
        <v>20012</v>
      </c>
      <c r="B146" s="514" t="s">
        <v>89</v>
      </c>
      <c r="C146" s="494">
        <v>12</v>
      </c>
      <c r="D146" s="514" t="s">
        <v>155</v>
      </c>
      <c r="E146" s="494">
        <v>22</v>
      </c>
      <c r="F146" s="232" t="s">
        <v>199</v>
      </c>
      <c r="G146" s="647"/>
      <c r="H146" s="647">
        <v>161264799.61000001</v>
      </c>
      <c r="I146" s="702">
        <v>5055824.12</v>
      </c>
      <c r="J146" s="647">
        <v>177391280</v>
      </c>
      <c r="K146" s="647">
        <f t="shared" si="18"/>
        <v>16126480.389999986</v>
      </c>
      <c r="L146" s="230">
        <f>SUM(L145:L145)</f>
        <v>0</v>
      </c>
      <c r="M146" s="230">
        <f>SUM(M145:M145)</f>
        <v>0</v>
      </c>
      <c r="N146" s="231"/>
    </row>
    <row r="147" spans="1:14" ht="24.95">
      <c r="A147" s="493">
        <v>20012</v>
      </c>
      <c r="B147" s="514" t="s">
        <v>89</v>
      </c>
      <c r="C147" s="494">
        <v>12</v>
      </c>
      <c r="D147" s="514" t="s">
        <v>155</v>
      </c>
      <c r="E147" s="494">
        <v>20</v>
      </c>
      <c r="F147" s="232" t="s">
        <v>200</v>
      </c>
      <c r="G147" s="647"/>
      <c r="H147" s="647">
        <v>105451988.69</v>
      </c>
      <c r="I147" s="696"/>
      <c r="J147" s="647">
        <v>138615548</v>
      </c>
      <c r="K147" s="647">
        <f t="shared" si="18"/>
        <v>33163559.310000002</v>
      </c>
      <c r="L147" s="230"/>
      <c r="M147" s="230"/>
      <c r="N147" s="231"/>
    </row>
    <row r="148" spans="1:14" ht="24.95">
      <c r="A148" s="493">
        <v>20012</v>
      </c>
      <c r="B148" s="514" t="s">
        <v>89</v>
      </c>
      <c r="C148" s="494">
        <v>12</v>
      </c>
      <c r="D148" s="514" t="s">
        <v>201</v>
      </c>
      <c r="E148" s="514" t="s">
        <v>202</v>
      </c>
      <c r="F148" s="232" t="s">
        <v>203</v>
      </c>
      <c r="G148" s="647"/>
      <c r="H148" s="647">
        <v>591741512.82000005</v>
      </c>
      <c r="I148" s="696"/>
      <c r="J148" s="647">
        <v>850915664</v>
      </c>
      <c r="K148" s="647">
        <f t="shared" si="18"/>
        <v>259174151.17999995</v>
      </c>
      <c r="L148" s="230"/>
      <c r="M148" s="230"/>
      <c r="N148" s="231"/>
    </row>
    <row r="149" spans="1:14">
      <c r="A149" s="493">
        <v>20012</v>
      </c>
      <c r="B149" s="514" t="s">
        <v>89</v>
      </c>
      <c r="C149" s="494">
        <v>12</v>
      </c>
      <c r="D149" s="514">
        <v>17</v>
      </c>
      <c r="E149" s="514" t="s">
        <v>91</v>
      </c>
      <c r="F149" s="232" t="s">
        <v>204</v>
      </c>
      <c r="G149" s="647"/>
      <c r="H149" s="647">
        <v>130959533.83</v>
      </c>
      <c r="I149" s="696">
        <f>'[2]To date'!$I$174</f>
        <v>11521336.84</v>
      </c>
      <c r="J149" s="647">
        <v>150603464</v>
      </c>
      <c r="K149" s="647">
        <f t="shared" si="18"/>
        <v>19643930.170000002</v>
      </c>
      <c r="L149" s="230"/>
      <c r="M149" s="230"/>
      <c r="N149" s="231"/>
    </row>
    <row r="150" spans="1:14">
      <c r="A150" s="493">
        <v>20012</v>
      </c>
      <c r="B150" s="514" t="s">
        <v>89</v>
      </c>
      <c r="C150" s="494">
        <v>12</v>
      </c>
      <c r="D150" s="494">
        <v>17</v>
      </c>
      <c r="E150" s="494">
        <v>25</v>
      </c>
      <c r="F150" s="233" t="s">
        <v>205</v>
      </c>
      <c r="G150" s="647">
        <v>29166780.920000002</v>
      </c>
      <c r="H150" s="647">
        <v>39925784.859999999</v>
      </c>
      <c r="I150" s="696">
        <f>'[2]To date'!$M$175+'SUMMARY SHEET AUGUST -DECEMBER'!H173</f>
        <v>28519788.589999992</v>
      </c>
      <c r="J150" s="647">
        <v>69922074</v>
      </c>
      <c r="K150" s="647">
        <f t="shared" si="18"/>
        <v>29996289.140000001</v>
      </c>
      <c r="L150" s="230"/>
      <c r="M150" s="230"/>
      <c r="N150" s="231"/>
    </row>
    <row r="151" spans="1:14">
      <c r="A151" s="493">
        <v>20012</v>
      </c>
      <c r="B151" s="514" t="s">
        <v>89</v>
      </c>
      <c r="C151" s="494">
        <v>12</v>
      </c>
      <c r="D151" s="494">
        <v>17</v>
      </c>
      <c r="E151" s="494">
        <v>12</v>
      </c>
      <c r="F151" s="232" t="s">
        <v>206</v>
      </c>
      <c r="G151" s="647">
        <v>2177498961.8299999</v>
      </c>
      <c r="H151" s="647">
        <v>1732500000</v>
      </c>
      <c r="I151" s="696">
        <f>'[2]To date'!$M$176+'SUMMARY SHEET AUGUST -DECEMBER'!H174</f>
        <v>1540367163.9099998</v>
      </c>
      <c r="J151" s="647">
        <v>1505750000</v>
      </c>
      <c r="K151" s="647">
        <f t="shared" si="18"/>
        <v>-226750000</v>
      </c>
      <c r="L151" s="230"/>
      <c r="M151" s="230"/>
      <c r="N151" s="231"/>
    </row>
    <row r="152" spans="1:14">
      <c r="A152" s="493">
        <v>20012</v>
      </c>
      <c r="B152" s="514" t="s">
        <v>89</v>
      </c>
      <c r="C152" s="494">
        <v>12</v>
      </c>
      <c r="D152" s="494">
        <v>17</v>
      </c>
      <c r="E152" s="494">
        <v>14</v>
      </c>
      <c r="F152" s="232" t="s">
        <v>207</v>
      </c>
      <c r="G152" s="647"/>
      <c r="H152" s="647">
        <v>29500</v>
      </c>
      <c r="I152" s="696"/>
      <c r="J152" s="647">
        <v>35000</v>
      </c>
      <c r="K152" s="647">
        <f t="shared" si="18"/>
        <v>5500</v>
      </c>
      <c r="L152" s="230">
        <f>SUM(J152:J152)</f>
        <v>35000</v>
      </c>
      <c r="M152" s="230" t="e">
        <f>#REF!-#REF!</f>
        <v>#REF!</v>
      </c>
      <c r="N152" s="231"/>
    </row>
    <row r="153" spans="1:14" ht="12.95" thickBot="1">
      <c r="A153" s="493">
        <v>20012</v>
      </c>
      <c r="B153" s="514" t="s">
        <v>89</v>
      </c>
      <c r="C153" s="494">
        <v>12</v>
      </c>
      <c r="D153" s="494">
        <v>99</v>
      </c>
      <c r="E153" s="532">
        <v>99</v>
      </c>
      <c r="F153" s="233" t="s">
        <v>116</v>
      </c>
      <c r="G153" s="647">
        <v>1351738506.21</v>
      </c>
      <c r="H153" s="647">
        <v>635437.87</v>
      </c>
      <c r="I153" s="696">
        <f>'[2]To date'!$M$178+'SUMMARY SHEET AUGUST -DECEMBER'!H176</f>
        <v>941555280.00999999</v>
      </c>
      <c r="J153" s="647">
        <v>476578</v>
      </c>
      <c r="K153" s="647">
        <f t="shared" si="18"/>
        <v>-158859.87</v>
      </c>
      <c r="L153" s="230">
        <f>SUM(J153:J153)</f>
        <v>476578</v>
      </c>
      <c r="M153" s="230" t="e">
        <f>#REF!-#REF!</f>
        <v>#REF!</v>
      </c>
      <c r="N153" s="231"/>
    </row>
    <row r="154" spans="1:14" ht="13.5" thickBot="1">
      <c r="F154" s="521" t="s">
        <v>208</v>
      </c>
      <c r="G154" s="653">
        <f>G153+G152+G151+G150+G149+G148+G147+G146+G145</f>
        <v>3566044488.6100001</v>
      </c>
      <c r="H154" s="653">
        <f>SUM(H145:H153)</f>
        <v>2772913527.9700003</v>
      </c>
      <c r="I154" s="700">
        <f>SUM(I145:I153)</f>
        <v>2547586186.2599998</v>
      </c>
      <c r="J154" s="653">
        <f>SUM(J145:J153)</f>
        <v>2904322678</v>
      </c>
      <c r="K154" s="653">
        <f t="shared" ref="K154:N154" si="19">SUM(K145:K153)</f>
        <v>131409150.02999991</v>
      </c>
      <c r="L154" s="635">
        <f t="shared" si="19"/>
        <v>511578</v>
      </c>
      <c r="M154" s="235" t="e">
        <f t="shared" si="19"/>
        <v>#REF!</v>
      </c>
      <c r="N154" s="416">
        <f t="shared" si="19"/>
        <v>0</v>
      </c>
    </row>
    <row r="155" spans="1:14">
      <c r="F155" s="232"/>
      <c r="G155" s="651" t="s">
        <v>18</v>
      </c>
      <c r="H155" s="647" t="s">
        <v>18</v>
      </c>
      <c r="I155" s="696" t="s">
        <v>18</v>
      </c>
      <c r="J155" s="647" t="s">
        <v>18</v>
      </c>
      <c r="K155" s="647"/>
      <c r="L155" s="230">
        <f>SUM(J155:J155)</f>
        <v>0</v>
      </c>
      <c r="M155" s="230" t="e">
        <f>#REF!-#REF!</f>
        <v>#REF!</v>
      </c>
      <c r="N155" s="231"/>
    </row>
    <row r="156" spans="1:14" ht="12.95">
      <c r="F156" s="229" t="s">
        <v>209</v>
      </c>
      <c r="G156" s="651" t="s">
        <v>18</v>
      </c>
      <c r="H156" s="647" t="s">
        <v>18</v>
      </c>
      <c r="I156" s="696" t="s">
        <v>18</v>
      </c>
      <c r="J156" s="647" t="s">
        <v>18</v>
      </c>
      <c r="K156" s="647"/>
      <c r="L156" s="230"/>
      <c r="M156" s="230"/>
      <c r="N156" s="231"/>
    </row>
    <row r="157" spans="1:14" ht="24.95">
      <c r="A157" s="493">
        <v>20056</v>
      </c>
      <c r="B157" s="514" t="s">
        <v>89</v>
      </c>
      <c r="C157" s="494">
        <v>12</v>
      </c>
      <c r="D157" s="514" t="s">
        <v>155</v>
      </c>
      <c r="E157" s="494">
        <v>11</v>
      </c>
      <c r="F157" s="233" t="s">
        <v>210</v>
      </c>
      <c r="G157" s="647"/>
      <c r="H157" s="647"/>
      <c r="I157" s="705">
        <f>'SUMMARY SHEET AUGUST -DECEMBER'!H180</f>
        <v>884572.77999999991</v>
      </c>
      <c r="J157" s="647"/>
      <c r="K157" s="647"/>
      <c r="L157" s="230">
        <f>SUM(L152:L156)</f>
        <v>1023156</v>
      </c>
      <c r="M157" s="230" t="e">
        <f>SUM(M152:M155)</f>
        <v>#REF!</v>
      </c>
      <c r="N157" s="231"/>
    </row>
    <row r="158" spans="1:14">
      <c r="A158" s="493">
        <v>20056</v>
      </c>
      <c r="B158" s="514" t="s">
        <v>89</v>
      </c>
      <c r="C158" s="494">
        <v>12</v>
      </c>
      <c r="D158" s="514" t="s">
        <v>155</v>
      </c>
      <c r="E158" s="494">
        <v>24</v>
      </c>
      <c r="F158" s="232" t="s">
        <v>211</v>
      </c>
      <c r="G158" s="647">
        <v>0</v>
      </c>
      <c r="H158" s="647">
        <v>200000</v>
      </c>
      <c r="I158" s="696">
        <f>'SUMMARY SHEET AUGUST -DECEMBER'!H181</f>
        <v>508196.91</v>
      </c>
      <c r="J158" s="647">
        <v>276000</v>
      </c>
      <c r="K158" s="647">
        <f t="shared" ref="K158:K169" si="20">J158-H158</f>
        <v>76000</v>
      </c>
      <c r="L158" s="230"/>
      <c r="M158" s="230"/>
      <c r="N158" s="231"/>
    </row>
    <row r="159" spans="1:14">
      <c r="A159" s="493">
        <v>20056</v>
      </c>
      <c r="B159" s="514" t="s">
        <v>89</v>
      </c>
      <c r="C159" s="494">
        <v>12</v>
      </c>
      <c r="D159" s="494">
        <v>17</v>
      </c>
      <c r="E159" s="494">
        <v>29</v>
      </c>
      <c r="F159" s="232" t="s">
        <v>212</v>
      </c>
      <c r="G159" s="647">
        <v>147936481.88</v>
      </c>
      <c r="H159" s="647">
        <v>241700000</v>
      </c>
      <c r="I159" s="696">
        <f>'[2]To date'!$M$184+'SUMMARY SHEET AUGUST -DECEMBER'!H182</f>
        <v>175644062.67000002</v>
      </c>
      <c r="J159" s="647">
        <v>263000000</v>
      </c>
      <c r="K159" s="647">
        <f t="shared" si="20"/>
        <v>21300000</v>
      </c>
      <c r="L159" s="230"/>
      <c r="M159" s="230"/>
      <c r="N159" s="231"/>
    </row>
    <row r="160" spans="1:14">
      <c r="A160" s="493">
        <v>20056</v>
      </c>
      <c r="B160" s="514" t="s">
        <v>89</v>
      </c>
      <c r="C160" s="494">
        <v>12</v>
      </c>
      <c r="D160" s="494">
        <v>17</v>
      </c>
      <c r="E160" s="494">
        <v>23</v>
      </c>
      <c r="F160" s="232" t="s">
        <v>213</v>
      </c>
      <c r="G160" s="647"/>
      <c r="H160" s="647"/>
      <c r="I160" s="696">
        <f>'SUMMARY SHEET AUGUST -DECEMBER'!H183</f>
        <v>11247798.539999999</v>
      </c>
      <c r="J160" s="647"/>
      <c r="K160" s="647">
        <f t="shared" si="20"/>
        <v>0</v>
      </c>
      <c r="L160" s="230"/>
      <c r="M160" s="230"/>
      <c r="N160" s="231"/>
    </row>
    <row r="161" spans="1:14" ht="24.95">
      <c r="A161" s="493">
        <v>20056</v>
      </c>
      <c r="B161" s="514" t="s">
        <v>89</v>
      </c>
      <c r="C161" s="494">
        <v>12</v>
      </c>
      <c r="D161" s="494">
        <v>17</v>
      </c>
      <c r="E161" s="494">
        <v>40</v>
      </c>
      <c r="F161" s="232" t="s">
        <v>214</v>
      </c>
      <c r="G161" s="647">
        <v>147975</v>
      </c>
      <c r="H161" s="647">
        <v>200000</v>
      </c>
      <c r="I161" s="696">
        <f>'[2]To date'!$M$186+'SUMMARY SHEET AUGUST -DECEMBER'!H184</f>
        <v>254000.59999999998</v>
      </c>
      <c r="J161" s="647">
        <v>624000</v>
      </c>
      <c r="K161" s="647">
        <f t="shared" si="20"/>
        <v>424000</v>
      </c>
      <c r="L161" s="230"/>
      <c r="M161" s="230"/>
      <c r="N161" s="231"/>
    </row>
    <row r="162" spans="1:14">
      <c r="A162" s="493">
        <v>20056</v>
      </c>
      <c r="B162" s="514" t="s">
        <v>89</v>
      </c>
      <c r="C162" s="494">
        <v>12</v>
      </c>
      <c r="D162" s="494">
        <v>17</v>
      </c>
      <c r="E162" s="532">
        <v>24</v>
      </c>
      <c r="F162" s="232" t="s">
        <v>215</v>
      </c>
      <c r="G162" s="647">
        <v>34435520</v>
      </c>
      <c r="H162" s="647">
        <v>56000000</v>
      </c>
      <c r="I162" s="696">
        <f>'[2]To date'!$M$187-580000000</f>
        <v>128946013.82000005</v>
      </c>
      <c r="J162" s="647">
        <v>73000000</v>
      </c>
      <c r="K162" s="647">
        <f t="shared" si="20"/>
        <v>17000000</v>
      </c>
      <c r="L162" s="230">
        <f>SUM(J162:J162)</f>
        <v>73000000</v>
      </c>
      <c r="M162" s="230" t="e">
        <f>#REF!-#REF!</f>
        <v>#REF!</v>
      </c>
      <c r="N162" s="231"/>
    </row>
    <row r="163" spans="1:14">
      <c r="A163" s="493">
        <v>20056</v>
      </c>
      <c r="B163" s="514" t="s">
        <v>89</v>
      </c>
      <c r="C163" s="494">
        <v>12</v>
      </c>
      <c r="D163" s="494">
        <v>17</v>
      </c>
      <c r="E163" s="494">
        <v>26</v>
      </c>
      <c r="F163" s="232" t="s">
        <v>216</v>
      </c>
      <c r="G163" s="647"/>
      <c r="H163" s="647"/>
      <c r="I163" s="696">
        <f>'SUMMARY SHEET AUGUST -DECEMBER'!H186</f>
        <v>3764592.25</v>
      </c>
      <c r="J163" s="647"/>
      <c r="K163" s="647">
        <f t="shared" si="20"/>
        <v>0</v>
      </c>
      <c r="L163" s="230">
        <f>SUM(J163:J163)</f>
        <v>0</v>
      </c>
      <c r="M163" s="230" t="e">
        <f>#REF!-#REF!</f>
        <v>#REF!</v>
      </c>
      <c r="N163" s="231"/>
    </row>
    <row r="164" spans="1:14">
      <c r="A164" s="493">
        <v>20056</v>
      </c>
      <c r="B164" s="514" t="s">
        <v>89</v>
      </c>
      <c r="C164" s="494">
        <v>12</v>
      </c>
      <c r="D164" s="494">
        <v>15</v>
      </c>
      <c r="E164" s="494">
        <v>45</v>
      </c>
      <c r="F164" s="232" t="s">
        <v>217</v>
      </c>
      <c r="G164" s="647">
        <v>64515520</v>
      </c>
      <c r="H164" s="647">
        <v>10000000</v>
      </c>
      <c r="I164" s="696">
        <f>'[2]To date'!$M$189+'SUMMARY SHEET AUGUST -DECEMBER'!H187</f>
        <v>9426066.4499999993</v>
      </c>
      <c r="J164" s="647">
        <v>15100000</v>
      </c>
      <c r="K164" s="647">
        <f t="shared" si="20"/>
        <v>5100000</v>
      </c>
      <c r="L164" s="230">
        <f>SUM(J164:J164)</f>
        <v>15100000</v>
      </c>
      <c r="M164" s="230" t="e">
        <f>#REF!-#REF!</f>
        <v>#REF!</v>
      </c>
      <c r="N164" s="231"/>
    </row>
    <row r="165" spans="1:14" s="519" customFormat="1" ht="12.95">
      <c r="A165" s="493">
        <v>20056</v>
      </c>
      <c r="B165" s="514" t="s">
        <v>89</v>
      </c>
      <c r="C165" s="494">
        <v>12</v>
      </c>
      <c r="D165" s="494">
        <v>17</v>
      </c>
      <c r="E165" s="494">
        <v>29</v>
      </c>
      <c r="F165" s="232" t="s">
        <v>218</v>
      </c>
      <c r="G165" s="647"/>
      <c r="H165" s="647">
        <v>346000000</v>
      </c>
      <c r="I165" s="696">
        <f>'[2]To date'!$M$190+'SUMMARY SHEET AUGUST -DECEMBER'!H188</f>
        <v>227333635.50999999</v>
      </c>
      <c r="J165" s="647">
        <v>497000000</v>
      </c>
      <c r="K165" s="647">
        <f t="shared" si="20"/>
        <v>151000000</v>
      </c>
      <c r="L165" s="523"/>
      <c r="M165" s="523"/>
      <c r="N165" s="531"/>
    </row>
    <row r="166" spans="1:14">
      <c r="A166" s="493">
        <v>20056</v>
      </c>
      <c r="B166" s="514" t="s">
        <v>89</v>
      </c>
      <c r="C166" s="494">
        <v>12</v>
      </c>
      <c r="D166" s="494">
        <v>17</v>
      </c>
      <c r="E166" s="494">
        <v>25</v>
      </c>
      <c r="F166" s="232" t="s">
        <v>219</v>
      </c>
      <c r="G166" s="647">
        <v>6829849.2300000004</v>
      </c>
      <c r="H166" s="647">
        <v>11000000</v>
      </c>
      <c r="I166" s="696">
        <f>'[2]To date'!$M$191+'SUMMARY SHEET AUGUST -DECEMBER'!H189</f>
        <v>8535203.870000001</v>
      </c>
      <c r="J166" s="647">
        <v>11000000</v>
      </c>
      <c r="K166" s="647">
        <f t="shared" si="20"/>
        <v>0</v>
      </c>
      <c r="L166" s="230">
        <f>SUM(J166:J166)</f>
        <v>11000000</v>
      </c>
      <c r="M166" s="230" t="e">
        <f>#REF!-#REF!</f>
        <v>#REF!</v>
      </c>
      <c r="N166" s="231"/>
    </row>
    <row r="167" spans="1:14">
      <c r="A167" s="493">
        <v>20056</v>
      </c>
      <c r="B167" s="514" t="s">
        <v>89</v>
      </c>
      <c r="C167" s="494">
        <v>12</v>
      </c>
      <c r="D167" s="494">
        <v>99</v>
      </c>
      <c r="E167" s="494">
        <v>99</v>
      </c>
      <c r="F167" s="232" t="s">
        <v>158</v>
      </c>
      <c r="G167" s="647">
        <v>76514369.159999996</v>
      </c>
      <c r="H167" s="647">
        <v>26000000</v>
      </c>
      <c r="I167" s="696">
        <f>'[2]To date'!$M$192+'SUMMARY SHEET AUGUST -DECEMBER'!H190</f>
        <v>19499619.18</v>
      </c>
      <c r="J167" s="647">
        <v>40000000</v>
      </c>
      <c r="K167" s="647">
        <f t="shared" si="20"/>
        <v>14000000</v>
      </c>
      <c r="L167" s="230">
        <f>SUM(J167:J167)</f>
        <v>40000000</v>
      </c>
      <c r="M167" s="230" t="e">
        <f>#REF!-#REF!</f>
        <v>#REF!</v>
      </c>
      <c r="N167" s="231"/>
    </row>
    <row r="168" spans="1:14">
      <c r="A168" s="493">
        <v>20056</v>
      </c>
      <c r="B168" s="514" t="s">
        <v>89</v>
      </c>
      <c r="C168" s="494">
        <v>12</v>
      </c>
      <c r="D168" s="494">
        <v>17</v>
      </c>
      <c r="E168" s="494">
        <v>30</v>
      </c>
      <c r="F168" s="232" t="s">
        <v>220</v>
      </c>
      <c r="G168" s="647"/>
      <c r="H168" s="647"/>
      <c r="I168" s="696">
        <f>'SUMMARY SHEET AUGUST -DECEMBER'!H191</f>
        <v>148582.56</v>
      </c>
      <c r="J168" s="647"/>
      <c r="K168" s="647">
        <f t="shared" si="20"/>
        <v>0</v>
      </c>
      <c r="L168" s="230">
        <f>SUM(J168:J168)</f>
        <v>0</v>
      </c>
      <c r="M168" s="230" t="e">
        <f>#REF!-#REF!</f>
        <v>#REF!</v>
      </c>
      <c r="N168" s="231"/>
    </row>
    <row r="169" spans="1:14" ht="25.5" thickBot="1">
      <c r="A169" s="493">
        <v>20056</v>
      </c>
      <c r="B169" s="514" t="s">
        <v>89</v>
      </c>
      <c r="C169" s="494">
        <v>12</v>
      </c>
      <c r="D169" s="494">
        <v>15</v>
      </c>
      <c r="E169" s="514" t="s">
        <v>104</v>
      </c>
      <c r="F169" s="232" t="s">
        <v>221</v>
      </c>
      <c r="G169" s="647"/>
      <c r="H169" s="647"/>
      <c r="I169" s="696">
        <f>'[2]To date'!$M$194</f>
        <v>1642064.13</v>
      </c>
      <c r="J169" s="647"/>
      <c r="K169" s="647">
        <f t="shared" si="20"/>
        <v>0</v>
      </c>
      <c r="L169" s="230"/>
      <c r="M169" s="230"/>
      <c r="N169" s="231"/>
    </row>
    <row r="170" spans="1:14" ht="26.45" thickBot="1">
      <c r="B170" s="514"/>
      <c r="F170" s="521" t="s">
        <v>222</v>
      </c>
      <c r="G170" s="655">
        <f>G167+G166+G164+G162+G161+G159</f>
        <v>330379715.26999998</v>
      </c>
      <c r="H170" s="655">
        <f>SUM(H158:H169)</f>
        <v>691100000</v>
      </c>
      <c r="I170" s="706">
        <f>SUM(I157:I169)</f>
        <v>587834409.26999986</v>
      </c>
      <c r="J170" s="655">
        <f>SUM(J157:J169)</f>
        <v>900000000</v>
      </c>
      <c r="K170" s="655">
        <f t="shared" ref="K170:N170" si="21">SUM(K157:K169)</f>
        <v>208900000</v>
      </c>
      <c r="L170" s="636">
        <f t="shared" si="21"/>
        <v>140123156</v>
      </c>
      <c r="M170" s="539" t="e">
        <f t="shared" si="21"/>
        <v>#REF!</v>
      </c>
      <c r="N170" s="540">
        <f t="shared" si="21"/>
        <v>0</v>
      </c>
    </row>
    <row r="171" spans="1:14">
      <c r="B171" s="514"/>
      <c r="F171" s="233"/>
      <c r="G171" s="651"/>
      <c r="H171" s="647"/>
      <c r="I171" s="707" t="s">
        <v>18</v>
      </c>
      <c r="J171" s="647"/>
      <c r="K171" s="647"/>
      <c r="L171" s="230">
        <f>SUM(J171:J171)</f>
        <v>0</v>
      </c>
      <c r="M171" s="230" t="e">
        <f>#REF!-#REF!</f>
        <v>#REF!</v>
      </c>
      <c r="N171" s="231"/>
    </row>
    <row r="172" spans="1:14" ht="39">
      <c r="B172" s="514"/>
      <c r="F172" s="513" t="s">
        <v>223</v>
      </c>
      <c r="G172" s="651"/>
      <c r="H172" s="647"/>
      <c r="I172" s="707" t="s">
        <v>18</v>
      </c>
      <c r="J172" s="647"/>
      <c r="K172" s="647"/>
      <c r="L172" s="230">
        <f>SUM(J172:J172)</f>
        <v>0</v>
      </c>
      <c r="M172" s="230" t="e">
        <f>#REF!-#REF!</f>
        <v>#REF!</v>
      </c>
      <c r="N172" s="231"/>
    </row>
    <row r="173" spans="1:14" ht="12.95" thickBot="1">
      <c r="B173" s="514"/>
      <c r="F173" s="232" t="s">
        <v>116</v>
      </c>
      <c r="G173" s="656">
        <v>150225.37</v>
      </c>
      <c r="H173" s="656">
        <v>342266.68</v>
      </c>
      <c r="I173" s="707"/>
      <c r="J173" s="656"/>
      <c r="K173" s="647">
        <f>J173-H173</f>
        <v>-342266.68</v>
      </c>
      <c r="L173" s="541"/>
      <c r="M173" s="541" t="e">
        <f>M142+M153+#REF!</f>
        <v>#REF!</v>
      </c>
      <c r="N173" s="529"/>
    </row>
    <row r="174" spans="1:14" ht="39.6" thickBot="1">
      <c r="B174" s="514"/>
      <c r="E174" s="532"/>
      <c r="F174" s="521" t="s">
        <v>224</v>
      </c>
      <c r="G174" s="657">
        <f>G173</f>
        <v>150225.37</v>
      </c>
      <c r="H174" s="657">
        <f>H173</f>
        <v>342266.68</v>
      </c>
      <c r="I174" s="708"/>
      <c r="J174" s="657"/>
      <c r="K174" s="657">
        <f t="shared" ref="K174:N174" si="22">SUM(K173:K173)</f>
        <v>-342266.68</v>
      </c>
      <c r="L174" s="637">
        <f t="shared" si="22"/>
        <v>0</v>
      </c>
      <c r="M174" s="236" t="e">
        <f t="shared" si="22"/>
        <v>#REF!</v>
      </c>
      <c r="N174" s="417">
        <f t="shared" si="22"/>
        <v>0</v>
      </c>
    </row>
    <row r="175" spans="1:14" ht="12.95">
      <c r="F175" s="513" t="s">
        <v>225</v>
      </c>
      <c r="G175" s="651"/>
      <c r="H175" s="647"/>
      <c r="I175" s="707" t="s">
        <v>18</v>
      </c>
      <c r="J175" s="647"/>
      <c r="K175" s="647"/>
      <c r="L175" s="230">
        <f>SUM(J175:J175)</f>
        <v>0</v>
      </c>
      <c r="M175" s="230" t="e">
        <f>#REF!-#REF!</f>
        <v>#REF!</v>
      </c>
      <c r="N175" s="231"/>
    </row>
    <row r="176" spans="1:14">
      <c r="A176" s="493">
        <v>26000</v>
      </c>
      <c r="B176" s="514" t="s">
        <v>89</v>
      </c>
      <c r="C176" s="494">
        <v>12</v>
      </c>
      <c r="D176" s="494">
        <v>15</v>
      </c>
      <c r="E176" s="494">
        <v>11</v>
      </c>
      <c r="F176" s="232" t="s">
        <v>226</v>
      </c>
      <c r="G176" s="651">
        <v>15012000</v>
      </c>
      <c r="H176" s="647">
        <v>15000000</v>
      </c>
      <c r="I176" s="707"/>
      <c r="J176" s="647">
        <v>15000000</v>
      </c>
      <c r="K176" s="647">
        <f>J176-H176</f>
        <v>0</v>
      </c>
      <c r="L176" s="230"/>
      <c r="M176" s="230"/>
      <c r="N176" s="231"/>
    </row>
    <row r="177" spans="1:14" ht="12.95" thickBot="1">
      <c r="A177" s="542">
        <v>26000</v>
      </c>
      <c r="B177" s="534" t="s">
        <v>89</v>
      </c>
      <c r="C177" s="494">
        <v>12</v>
      </c>
      <c r="D177" s="494">
        <v>99</v>
      </c>
      <c r="E177" s="494">
        <v>99</v>
      </c>
      <c r="F177" s="232" t="s">
        <v>116</v>
      </c>
      <c r="G177" s="656">
        <v>15000000</v>
      </c>
      <c r="H177" s="656">
        <v>4000000</v>
      </c>
      <c r="I177" s="707">
        <f>'[2]To date'!$M$205+'SUMMARY SHEET AUGUST -DECEMBER'!H202</f>
        <v>2842299.77</v>
      </c>
      <c r="J177" s="656">
        <v>4000000</v>
      </c>
      <c r="K177" s="647">
        <f>J177-H177</f>
        <v>0</v>
      </c>
      <c r="L177" s="543"/>
      <c r="M177" s="543" t="e">
        <f>M146+M157+#REF!</f>
        <v>#REF!</v>
      </c>
      <c r="N177" s="231"/>
    </row>
    <row r="178" spans="1:14" s="722" customFormat="1" ht="26.1">
      <c r="A178" s="725"/>
      <c r="B178" s="726"/>
      <c r="C178" s="506"/>
      <c r="D178" s="506"/>
      <c r="E178" s="506"/>
      <c r="F178" s="727" t="s">
        <v>227</v>
      </c>
      <c r="G178" s="728">
        <v>30012000</v>
      </c>
      <c r="H178" s="728">
        <f t="shared" ref="H178:N178" si="23">SUM(H176:H177)</f>
        <v>19000000</v>
      </c>
      <c r="I178" s="729">
        <f t="shared" si="23"/>
        <v>2842299.77</v>
      </c>
      <c r="J178" s="728">
        <f t="shared" si="23"/>
        <v>19000000</v>
      </c>
      <c r="K178" s="728">
        <f t="shared" si="23"/>
        <v>0</v>
      </c>
      <c r="L178" s="730">
        <f t="shared" si="23"/>
        <v>0</v>
      </c>
      <c r="M178" s="731" t="e">
        <f t="shared" si="23"/>
        <v>#REF!</v>
      </c>
      <c r="N178" s="732">
        <f t="shared" si="23"/>
        <v>0</v>
      </c>
    </row>
    <row r="179" spans="1:14">
      <c r="A179" s="542"/>
      <c r="B179" s="534"/>
      <c r="F179" s="232"/>
      <c r="G179" s="658"/>
      <c r="H179" s="656"/>
      <c r="I179" s="709" t="s">
        <v>18</v>
      </c>
      <c r="J179" s="647"/>
      <c r="K179" s="647"/>
      <c r="L179" s="543"/>
      <c r="M179" s="543"/>
      <c r="N179" s="231"/>
    </row>
    <row r="180" spans="1:14" ht="12.95">
      <c r="F180" s="513" t="s">
        <v>228</v>
      </c>
      <c r="G180" s="651"/>
      <c r="H180" s="651"/>
      <c r="I180" s="696" t="s">
        <v>18</v>
      </c>
      <c r="J180" s="647"/>
      <c r="K180" s="647"/>
      <c r="L180" s="230"/>
      <c r="M180" s="230"/>
      <c r="N180" s="231"/>
    </row>
    <row r="181" spans="1:14" ht="24.95">
      <c r="A181" s="542">
        <v>26000</v>
      </c>
      <c r="B181" s="534">
        <v>356</v>
      </c>
      <c r="C181" s="532">
        <v>12</v>
      </c>
      <c r="D181" s="532">
        <v>10</v>
      </c>
      <c r="E181" s="514" t="s">
        <v>91</v>
      </c>
      <c r="F181" s="232" t="s">
        <v>229</v>
      </c>
      <c r="G181" s="647">
        <v>0</v>
      </c>
      <c r="H181" s="647"/>
      <c r="I181" s="696" t="s">
        <v>18</v>
      </c>
      <c r="J181" s="647"/>
      <c r="K181" s="647">
        <f>J181-H181</f>
        <v>0</v>
      </c>
      <c r="L181" s="230"/>
      <c r="M181" s="230"/>
      <c r="N181" s="231"/>
    </row>
    <row r="182" spans="1:14" ht="12.95" thickBot="1">
      <c r="A182" s="493">
        <v>26000</v>
      </c>
      <c r="B182" s="514">
        <v>356</v>
      </c>
      <c r="C182" s="494">
        <v>12</v>
      </c>
      <c r="D182" s="494">
        <v>15</v>
      </c>
      <c r="E182" s="514" t="s">
        <v>94</v>
      </c>
      <c r="F182" s="232" t="s">
        <v>230</v>
      </c>
      <c r="G182" s="647">
        <v>0</v>
      </c>
      <c r="H182" s="647">
        <v>26000000</v>
      </c>
      <c r="I182" s="696" t="s">
        <v>18</v>
      </c>
      <c r="J182" s="647"/>
      <c r="K182" s="647">
        <f>J182-H182</f>
        <v>-26000000</v>
      </c>
      <c r="L182" s="230"/>
      <c r="M182" s="230"/>
      <c r="N182" s="231"/>
    </row>
    <row r="183" spans="1:14" s="494" customFormat="1" ht="13.5" thickBot="1">
      <c r="A183" s="493"/>
      <c r="F183" s="521" t="s">
        <v>231</v>
      </c>
      <c r="G183" s="653">
        <f>G182</f>
        <v>0</v>
      </c>
      <c r="H183" s="653">
        <f>SUM(H181:H182)</f>
        <v>26000000</v>
      </c>
      <c r="I183" s="699">
        <f>SUM(I181:I182)</f>
        <v>0</v>
      </c>
      <c r="J183" s="653">
        <f>SUM(J181:J182)</f>
        <v>0</v>
      </c>
      <c r="K183" s="659">
        <f t="shared" ref="K183:N183" si="24">SUM(K181:K182)</f>
        <v>-26000000</v>
      </c>
      <c r="L183" s="638">
        <f t="shared" si="24"/>
        <v>0</v>
      </c>
      <c r="M183" s="544">
        <f t="shared" si="24"/>
        <v>0</v>
      </c>
      <c r="N183" s="545">
        <f t="shared" si="24"/>
        <v>0</v>
      </c>
    </row>
    <row r="184" spans="1:14">
      <c r="F184" s="232"/>
      <c r="G184" s="651"/>
      <c r="H184" s="647"/>
      <c r="I184" s="696" t="s">
        <v>18</v>
      </c>
      <c r="J184" s="647"/>
      <c r="K184" s="647"/>
      <c r="L184" s="230"/>
      <c r="M184" s="230"/>
      <c r="N184" s="231"/>
    </row>
    <row r="185" spans="1:14" ht="12.95">
      <c r="F185" s="513" t="s">
        <v>232</v>
      </c>
      <c r="G185" s="651"/>
      <c r="H185" s="647"/>
      <c r="I185" s="696" t="s">
        <v>18</v>
      </c>
      <c r="J185" s="647"/>
      <c r="K185" s="647"/>
      <c r="L185" s="230">
        <f>SUM(J185:J185)</f>
        <v>0</v>
      </c>
      <c r="M185" s="230" t="e">
        <f>#REF!-#REF!</f>
        <v>#REF!</v>
      </c>
      <c r="N185" s="231"/>
    </row>
    <row r="186" spans="1:14">
      <c r="A186" s="493">
        <v>26022</v>
      </c>
      <c r="B186" s="514" t="s">
        <v>89</v>
      </c>
      <c r="C186" s="494">
        <v>12</v>
      </c>
      <c r="D186" s="494">
        <v>11</v>
      </c>
      <c r="E186" s="514" t="s">
        <v>94</v>
      </c>
      <c r="F186" s="232" t="s">
        <v>233</v>
      </c>
      <c r="G186" s="647">
        <v>7589500</v>
      </c>
      <c r="H186" s="647">
        <v>1264512136.47</v>
      </c>
      <c r="I186" s="696">
        <f>'[2]To date'!$M$213+'SUMMARY SHEET AUGUST -DECEMBER'!H211</f>
        <v>49310223.530000001</v>
      </c>
      <c r="J186" s="647"/>
      <c r="K186" s="647">
        <f t="shared" ref="K186:K191" si="25">J186-H186</f>
        <v>-1264512136.47</v>
      </c>
      <c r="L186" s="230"/>
      <c r="M186" s="230"/>
      <c r="N186" s="231"/>
    </row>
    <row r="187" spans="1:14">
      <c r="A187" s="493">
        <v>26022</v>
      </c>
      <c r="B187" s="514" t="s">
        <v>89</v>
      </c>
      <c r="C187" s="494">
        <v>12</v>
      </c>
      <c r="D187" s="494">
        <v>11</v>
      </c>
      <c r="E187" s="514" t="s">
        <v>102</v>
      </c>
      <c r="F187" s="233" t="s">
        <v>234</v>
      </c>
      <c r="G187" s="647">
        <v>263091050</v>
      </c>
      <c r="H187" s="647"/>
      <c r="I187" s="696">
        <f>'SUMMARY SHEET AUGUST -DECEMBER'!H212</f>
        <v>88498243.109999999</v>
      </c>
      <c r="J187" s="647"/>
      <c r="K187" s="647">
        <f t="shared" si="25"/>
        <v>0</v>
      </c>
      <c r="L187" s="230"/>
      <c r="M187" s="230"/>
      <c r="N187" s="231"/>
    </row>
    <row r="188" spans="1:14">
      <c r="A188" s="493">
        <v>26022</v>
      </c>
      <c r="B188" s="514" t="s">
        <v>89</v>
      </c>
      <c r="C188" s="494">
        <v>12</v>
      </c>
      <c r="D188" s="514" t="s">
        <v>91</v>
      </c>
      <c r="E188" s="514" t="s">
        <v>202</v>
      </c>
      <c r="F188" s="232" t="s">
        <v>235</v>
      </c>
      <c r="G188" s="647"/>
      <c r="H188" s="647"/>
      <c r="I188" s="696"/>
      <c r="J188" s="647"/>
      <c r="K188" s="647">
        <f t="shared" si="25"/>
        <v>0</v>
      </c>
      <c r="L188" s="230"/>
      <c r="M188" s="230"/>
      <c r="N188" s="231"/>
    </row>
    <row r="189" spans="1:14">
      <c r="A189" s="493">
        <v>26022</v>
      </c>
      <c r="B189" s="514" t="s">
        <v>89</v>
      </c>
      <c r="C189" s="494">
        <v>12</v>
      </c>
      <c r="D189" s="514" t="s">
        <v>91</v>
      </c>
      <c r="E189" s="514" t="s">
        <v>104</v>
      </c>
      <c r="F189" s="232" t="s">
        <v>236</v>
      </c>
      <c r="G189" s="647"/>
      <c r="H189" s="647"/>
      <c r="I189" s="696"/>
      <c r="J189" s="647"/>
      <c r="K189" s="647">
        <f t="shared" si="25"/>
        <v>0</v>
      </c>
      <c r="L189" s="230">
        <f>SUM(J189:J189)</f>
        <v>0</v>
      </c>
      <c r="M189" s="230" t="e">
        <f>#REF!-#REF!</f>
        <v>#REF!</v>
      </c>
      <c r="N189" s="231"/>
    </row>
    <row r="190" spans="1:14">
      <c r="A190" s="493">
        <v>26022</v>
      </c>
      <c r="B190" s="514" t="s">
        <v>89</v>
      </c>
      <c r="C190" s="494">
        <v>12</v>
      </c>
      <c r="D190" s="494">
        <v>11</v>
      </c>
      <c r="E190" s="514" t="s">
        <v>100</v>
      </c>
      <c r="F190" s="232" t="s">
        <v>237</v>
      </c>
      <c r="G190" s="647">
        <v>0</v>
      </c>
      <c r="H190" s="647">
        <v>34871500</v>
      </c>
      <c r="I190" s="696">
        <f>'[2]To date'!$M$217+'SUMMARY SHEET AUGUST -DECEMBER'!H215</f>
        <v>44646.01</v>
      </c>
      <c r="J190" s="647"/>
      <c r="K190" s="647">
        <f t="shared" si="25"/>
        <v>-34871500</v>
      </c>
      <c r="L190" s="230">
        <f>SUM(J190:J190)</f>
        <v>0</v>
      </c>
      <c r="M190" s="230" t="e">
        <f>#REF!-#REF!</f>
        <v>#REF!</v>
      </c>
      <c r="N190" s="231"/>
    </row>
    <row r="191" spans="1:14" ht="12.95" thickBot="1">
      <c r="A191" s="493">
        <v>26022</v>
      </c>
      <c r="B191" s="514" t="s">
        <v>89</v>
      </c>
      <c r="C191" s="494">
        <v>12</v>
      </c>
      <c r="D191" s="494">
        <v>99</v>
      </c>
      <c r="E191" s="494">
        <v>99</v>
      </c>
      <c r="F191" s="232" t="s">
        <v>158</v>
      </c>
      <c r="G191" s="647">
        <v>6499398.8700000001</v>
      </c>
      <c r="H191" s="647">
        <v>38805481.329999998</v>
      </c>
      <c r="I191" s="696">
        <f>'[2]To date'!$M$218+'SUMMARY SHEET AUGUST -DECEMBER'!H216</f>
        <v>11495120.460000001</v>
      </c>
      <c r="J191" s="647">
        <v>41038556.869999997</v>
      </c>
      <c r="K191" s="647">
        <f t="shared" si="25"/>
        <v>2233075.5399999991</v>
      </c>
      <c r="L191" s="230">
        <f>SUM(J191:J191)</f>
        <v>41038556.869999997</v>
      </c>
      <c r="M191" s="230" t="e">
        <f>#REF!-#REF!</f>
        <v>#REF!</v>
      </c>
      <c r="N191" s="231"/>
    </row>
    <row r="192" spans="1:14" ht="13.5" thickBot="1">
      <c r="B192" s="514"/>
      <c r="F192" s="521" t="s">
        <v>238</v>
      </c>
      <c r="G192" s="655">
        <f>G191+G190+G189+G188+G187+G186</f>
        <v>277179948.87</v>
      </c>
      <c r="H192" s="655">
        <f>SUM(H186:H191)</f>
        <v>1338189117.8</v>
      </c>
      <c r="I192" s="706">
        <f>SUM(I186:I191)</f>
        <v>149348233.10999998</v>
      </c>
      <c r="J192" s="655">
        <f>J191+J190+J189+J188+J187+J186</f>
        <v>41038556.869999997</v>
      </c>
      <c r="K192" s="655">
        <f t="shared" ref="K192:N192" si="26">SUM(K186:K191)</f>
        <v>-1297150560.9300001</v>
      </c>
      <c r="L192" s="636">
        <f t="shared" si="26"/>
        <v>41038556.869999997</v>
      </c>
      <c r="M192" s="539" t="e">
        <f t="shared" si="26"/>
        <v>#REF!</v>
      </c>
      <c r="N192" s="540">
        <f t="shared" si="26"/>
        <v>0</v>
      </c>
    </row>
    <row r="193" spans="1:14">
      <c r="B193" s="514"/>
      <c r="F193" s="232"/>
      <c r="G193" s="660"/>
      <c r="H193" s="662"/>
      <c r="I193" s="707" t="s">
        <v>18</v>
      </c>
      <c r="J193" s="662"/>
      <c r="K193" s="647"/>
      <c r="L193" s="230"/>
      <c r="M193" s="537"/>
      <c r="N193" s="231"/>
    </row>
    <row r="194" spans="1:14" ht="26.1">
      <c r="F194" s="513" t="s">
        <v>239</v>
      </c>
      <c r="G194" s="651"/>
      <c r="H194" s="647"/>
      <c r="I194" s="696" t="s">
        <v>18</v>
      </c>
      <c r="J194" s="647"/>
      <c r="K194" s="647"/>
      <c r="L194" s="230"/>
      <c r="M194" s="230"/>
      <c r="N194" s="231"/>
    </row>
    <row r="195" spans="1:14">
      <c r="A195" s="493">
        <v>26024</v>
      </c>
      <c r="B195" s="514" t="s">
        <v>89</v>
      </c>
      <c r="C195" s="494">
        <v>12</v>
      </c>
      <c r="D195" s="514" t="s">
        <v>155</v>
      </c>
      <c r="E195" s="494">
        <v>25</v>
      </c>
      <c r="F195" s="232" t="s">
        <v>240</v>
      </c>
      <c r="G195" s="647">
        <v>138568.98000000001</v>
      </c>
      <c r="H195" s="647">
        <v>495000</v>
      </c>
      <c r="I195" s="696">
        <f>'[2]To date'!$M$223+'SUMMARY SHEET AUGUST -DECEMBER'!H220</f>
        <v>3893223.67</v>
      </c>
      <c r="J195" s="647">
        <v>4900000</v>
      </c>
      <c r="K195" s="647">
        <f>H195-J195</f>
        <v>-4405000</v>
      </c>
      <c r="L195" s="230"/>
      <c r="M195" s="230"/>
      <c r="N195" s="231"/>
    </row>
    <row r="196" spans="1:14" ht="12.95" thickBot="1">
      <c r="B196" s="514"/>
      <c r="D196" s="514"/>
      <c r="F196" s="232" t="s">
        <v>241</v>
      </c>
      <c r="G196" s="647"/>
      <c r="H196" s="647"/>
      <c r="I196" s="696"/>
      <c r="J196" s="647"/>
      <c r="K196" s="647"/>
      <c r="L196" s="230"/>
      <c r="M196" s="230"/>
      <c r="N196" s="231"/>
    </row>
    <row r="197" spans="1:14" ht="26.45" thickBot="1">
      <c r="B197" s="514"/>
      <c r="D197" s="514"/>
      <c r="F197" s="521" t="s">
        <v>242</v>
      </c>
      <c r="G197" s="653">
        <f>G195</f>
        <v>138568.98000000001</v>
      </c>
      <c r="H197" s="653">
        <f>SUM(H195)</f>
        <v>495000</v>
      </c>
      <c r="I197" s="700">
        <f>SUM(I195)</f>
        <v>3893223.67</v>
      </c>
      <c r="J197" s="653">
        <f>SUM(J195)</f>
        <v>4900000</v>
      </c>
      <c r="K197" s="653">
        <f t="shared" ref="K197:N197" si="27">SUM(K195)</f>
        <v>-4405000</v>
      </c>
      <c r="L197" s="633">
        <f t="shared" si="27"/>
        <v>0</v>
      </c>
      <c r="M197" s="186">
        <f t="shared" si="27"/>
        <v>0</v>
      </c>
      <c r="N197" s="237">
        <f t="shared" si="27"/>
        <v>0</v>
      </c>
    </row>
    <row r="198" spans="1:14">
      <c r="F198" s="232"/>
      <c r="G198" s="651"/>
      <c r="H198" s="647"/>
      <c r="I198" s="696" t="s">
        <v>18</v>
      </c>
      <c r="J198" s="647"/>
      <c r="K198" s="647"/>
      <c r="L198" s="230">
        <f>SUM(J198:J198)</f>
        <v>0</v>
      </c>
      <c r="M198" s="230" t="e">
        <f>#REF!-#REF!</f>
        <v>#REF!</v>
      </c>
      <c r="N198" s="231"/>
    </row>
    <row r="199" spans="1:14">
      <c r="F199" s="232"/>
      <c r="G199" s="651"/>
      <c r="H199" s="647" t="s">
        <v>18</v>
      </c>
      <c r="I199" s="707" t="s">
        <v>18</v>
      </c>
      <c r="J199" s="647" t="s">
        <v>18</v>
      </c>
      <c r="K199" s="647"/>
      <c r="L199" s="230"/>
      <c r="M199" s="230"/>
      <c r="N199" s="231"/>
    </row>
    <row r="200" spans="1:14" ht="12.95">
      <c r="F200" s="229" t="s">
        <v>243</v>
      </c>
      <c r="G200" s="651"/>
      <c r="H200" s="647"/>
      <c r="I200" s="696" t="s">
        <v>18</v>
      </c>
      <c r="J200" s="647"/>
      <c r="K200" s="647"/>
      <c r="L200" s="230">
        <f>SUM(L198:L199)</f>
        <v>0</v>
      </c>
      <c r="M200" s="230" t="e">
        <f>SUM(M198:M198)</f>
        <v>#REF!</v>
      </c>
      <c r="N200" s="231"/>
    </row>
    <row r="201" spans="1:14">
      <c r="A201" s="493">
        <v>28000</v>
      </c>
      <c r="B201" s="514" t="s">
        <v>89</v>
      </c>
      <c r="C201" s="494">
        <v>12</v>
      </c>
      <c r="D201" s="514" t="s">
        <v>155</v>
      </c>
      <c r="E201" s="514" t="s">
        <v>91</v>
      </c>
      <c r="F201" s="232" t="s">
        <v>244</v>
      </c>
      <c r="G201" s="647">
        <v>109454055.14</v>
      </c>
      <c r="H201" s="647">
        <v>176000000</v>
      </c>
      <c r="I201" s="696">
        <f>'[2]To date'!$M$233</f>
        <v>39703627.859999999</v>
      </c>
      <c r="J201" s="647">
        <v>185000000</v>
      </c>
      <c r="K201" s="647">
        <f t="shared" ref="K201:K206" si="28">J201-H201</f>
        <v>9000000</v>
      </c>
      <c r="L201" s="230"/>
      <c r="M201" s="230"/>
      <c r="N201" s="231"/>
    </row>
    <row r="202" spans="1:14">
      <c r="A202" s="493">
        <v>28000</v>
      </c>
      <c r="B202" s="514" t="s">
        <v>89</v>
      </c>
      <c r="C202" s="494">
        <v>12</v>
      </c>
      <c r="D202" s="514" t="s">
        <v>155</v>
      </c>
      <c r="E202" s="514" t="s">
        <v>104</v>
      </c>
      <c r="F202" s="232" t="s">
        <v>245</v>
      </c>
      <c r="G202" s="647">
        <v>447154</v>
      </c>
      <c r="H202" s="647">
        <v>210738327</v>
      </c>
      <c r="I202" s="696">
        <f>'[2]To date'!$M$234+'SUMMARY SHEET AUGUST -DECEMBER'!H232</f>
        <v>103759364.90000001</v>
      </c>
      <c r="J202" s="647">
        <v>221500000</v>
      </c>
      <c r="K202" s="647">
        <f t="shared" si="28"/>
        <v>10761673</v>
      </c>
      <c r="L202" s="230"/>
      <c r="M202" s="230"/>
      <c r="N202" s="231"/>
    </row>
    <row r="203" spans="1:14" ht="24.95">
      <c r="A203" s="493">
        <v>28000</v>
      </c>
      <c r="B203" s="514" t="s">
        <v>89</v>
      </c>
      <c r="C203" s="494">
        <v>12</v>
      </c>
      <c r="D203" s="494">
        <v>16</v>
      </c>
      <c r="E203" s="494">
        <v>21</v>
      </c>
      <c r="F203" s="233" t="s">
        <v>246</v>
      </c>
      <c r="G203" s="647"/>
      <c r="H203" s="647">
        <v>424000</v>
      </c>
      <c r="I203" s="696"/>
      <c r="J203" s="647">
        <v>445200</v>
      </c>
      <c r="K203" s="647">
        <f t="shared" si="28"/>
        <v>21200</v>
      </c>
      <c r="L203" s="230"/>
      <c r="M203" s="230"/>
      <c r="N203" s="231"/>
    </row>
    <row r="204" spans="1:14">
      <c r="A204" s="493">
        <v>28000</v>
      </c>
      <c r="B204" s="514" t="s">
        <v>89</v>
      </c>
      <c r="C204" s="494">
        <v>12</v>
      </c>
      <c r="D204" s="514" t="s">
        <v>155</v>
      </c>
      <c r="E204" s="494">
        <v>18</v>
      </c>
      <c r="F204" s="232" t="s">
        <v>247</v>
      </c>
      <c r="G204" s="647"/>
      <c r="H204" s="647" t="s">
        <v>248</v>
      </c>
      <c r="I204" s="696">
        <f>'[2]To date'!$M$236</f>
        <v>1011.93</v>
      </c>
      <c r="J204" s="647"/>
      <c r="K204" s="647">
        <v>0</v>
      </c>
      <c r="L204" s="230">
        <f>SUM(J204:J204)</f>
        <v>0</v>
      </c>
      <c r="M204" s="230" t="e">
        <f>#REF!-#REF!</f>
        <v>#REF!</v>
      </c>
      <c r="N204" s="231"/>
    </row>
    <row r="205" spans="1:14">
      <c r="A205" s="493">
        <v>28000</v>
      </c>
      <c r="B205" s="514" t="s">
        <v>89</v>
      </c>
      <c r="C205" s="494">
        <v>12</v>
      </c>
      <c r="D205" s="494">
        <v>11</v>
      </c>
      <c r="E205" s="532">
        <v>22</v>
      </c>
      <c r="F205" s="232" t="s">
        <v>249</v>
      </c>
      <c r="G205" s="647"/>
      <c r="H205" s="647">
        <v>26840000</v>
      </c>
      <c r="I205" s="696"/>
      <c r="J205" s="647">
        <v>28182000</v>
      </c>
      <c r="K205" s="647">
        <f t="shared" si="28"/>
        <v>1342000</v>
      </c>
      <c r="L205" s="230">
        <f>SUM(J205:J205)</f>
        <v>28182000</v>
      </c>
      <c r="M205" s="230" t="e">
        <f>#REF!-#REF!</f>
        <v>#REF!</v>
      </c>
      <c r="N205" s="231"/>
    </row>
    <row r="206" spans="1:14">
      <c r="A206" s="493">
        <v>28000</v>
      </c>
      <c r="B206" s="514" t="s">
        <v>89</v>
      </c>
      <c r="C206" s="494">
        <v>12</v>
      </c>
      <c r="D206" s="494">
        <v>99</v>
      </c>
      <c r="E206" s="532">
        <v>99</v>
      </c>
      <c r="F206" s="232" t="s">
        <v>158</v>
      </c>
      <c r="G206" s="647">
        <v>10279778.699999999</v>
      </c>
      <c r="H206" s="647">
        <v>441000</v>
      </c>
      <c r="I206" s="696">
        <f>'[2]To date'!$M$238+'SUMMARY SHEET AUGUST -DECEMBER'!H236</f>
        <v>10323075.310000001</v>
      </c>
      <c r="J206" s="647">
        <v>463050</v>
      </c>
      <c r="K206" s="647">
        <f t="shared" si="28"/>
        <v>22050</v>
      </c>
      <c r="L206" s="230">
        <f>SUM(J206:J206)</f>
        <v>463050</v>
      </c>
      <c r="M206" s="230" t="e">
        <f>#REF!-#REF!</f>
        <v>#REF!</v>
      </c>
      <c r="N206" s="231"/>
    </row>
    <row r="207" spans="1:14" ht="12.95" thickBot="1">
      <c r="A207" s="493">
        <v>28001</v>
      </c>
      <c r="B207" s="514" t="s">
        <v>250</v>
      </c>
      <c r="C207" s="494">
        <v>12</v>
      </c>
      <c r="D207" s="494">
        <v>16</v>
      </c>
      <c r="E207" s="534" t="s">
        <v>102</v>
      </c>
      <c r="F207" s="232" t="s">
        <v>251</v>
      </c>
      <c r="G207" s="647"/>
      <c r="H207" s="647"/>
      <c r="I207" s="696"/>
      <c r="J207" s="647"/>
      <c r="K207" s="647"/>
      <c r="L207" s="230"/>
      <c r="M207" s="230"/>
      <c r="N207" s="231"/>
    </row>
    <row r="208" spans="1:14" ht="13.5" thickBot="1">
      <c r="E208" s="532"/>
      <c r="F208" s="234" t="s">
        <v>252</v>
      </c>
      <c r="G208" s="653">
        <f>G206+G205+G204+G203+G202+G201</f>
        <v>120180987.84</v>
      </c>
      <c r="H208" s="653">
        <f>SUM(H201:H207)</f>
        <v>414443327</v>
      </c>
      <c r="I208" s="700">
        <f>SUM(I201:I207)</f>
        <v>153787080</v>
      </c>
      <c r="J208" s="653">
        <f>SUM(J201:J207)</f>
        <v>435590250</v>
      </c>
      <c r="K208" s="653">
        <f t="shared" ref="K208:N208" si="29">SUM(K201:K207)</f>
        <v>21146923</v>
      </c>
      <c r="L208" s="633">
        <f t="shared" si="29"/>
        <v>28645050</v>
      </c>
      <c r="M208" s="186" t="e">
        <f t="shared" si="29"/>
        <v>#REF!</v>
      </c>
      <c r="N208" s="237">
        <f t="shared" si="29"/>
        <v>0</v>
      </c>
    </row>
    <row r="209" spans="1:14">
      <c r="E209" s="532"/>
      <c r="F209" s="233"/>
      <c r="G209" s="651"/>
      <c r="H209" s="647"/>
      <c r="I209" s="696" t="s">
        <v>18</v>
      </c>
      <c r="J209" s="647"/>
      <c r="K209" s="647"/>
      <c r="L209" s="230"/>
      <c r="M209" s="230"/>
      <c r="N209" s="231"/>
    </row>
    <row r="210" spans="1:14">
      <c r="F210" s="232"/>
      <c r="G210" s="651"/>
      <c r="H210" s="647"/>
      <c r="I210" s="696" t="s">
        <v>18</v>
      </c>
      <c r="J210" s="647"/>
      <c r="K210" s="647"/>
      <c r="L210" s="230"/>
      <c r="M210" s="230"/>
      <c r="N210" s="231"/>
    </row>
    <row r="211" spans="1:14" ht="26.1">
      <c r="F211" s="513" t="s">
        <v>253</v>
      </c>
      <c r="G211" s="651"/>
      <c r="H211" s="647"/>
      <c r="I211" s="696" t="s">
        <v>18</v>
      </c>
      <c r="J211" s="647"/>
      <c r="K211" s="647"/>
      <c r="L211" s="230">
        <f t="shared" ref="L211:L216" si="30">SUM(J211:J211)</f>
        <v>0</v>
      </c>
      <c r="M211" s="230" t="e">
        <f>#REF!-#REF!</f>
        <v>#REF!</v>
      </c>
      <c r="N211" s="231"/>
    </row>
    <row r="212" spans="1:14">
      <c r="A212" s="493">
        <v>30000</v>
      </c>
      <c r="B212" s="514" t="s">
        <v>89</v>
      </c>
      <c r="C212" s="494">
        <v>12</v>
      </c>
      <c r="D212" s="494">
        <v>12</v>
      </c>
      <c r="E212" s="534" t="s">
        <v>91</v>
      </c>
      <c r="F212" s="232" t="s">
        <v>254</v>
      </c>
      <c r="G212" s="647">
        <v>824954.01</v>
      </c>
      <c r="H212" s="647">
        <v>9440269</v>
      </c>
      <c r="I212" s="696"/>
      <c r="J212" s="647">
        <v>11195612</v>
      </c>
      <c r="K212" s="647">
        <f t="shared" ref="K212:K217" si="31">J212-H212</f>
        <v>1755343</v>
      </c>
      <c r="L212" s="230">
        <f t="shared" si="30"/>
        <v>11195612</v>
      </c>
      <c r="M212" s="230" t="e">
        <f>#REF!-#REF!</f>
        <v>#REF!</v>
      </c>
      <c r="N212" s="231"/>
    </row>
    <row r="213" spans="1:14">
      <c r="A213" s="493">
        <v>30000</v>
      </c>
      <c r="B213" s="514" t="s">
        <v>89</v>
      </c>
      <c r="C213" s="494">
        <v>12</v>
      </c>
      <c r="D213" s="494">
        <v>12</v>
      </c>
      <c r="E213" s="514" t="s">
        <v>94</v>
      </c>
      <c r="F213" s="232" t="s">
        <v>255</v>
      </c>
      <c r="G213" s="647">
        <v>7561253.1900000004</v>
      </c>
      <c r="H213" s="647">
        <v>6293512</v>
      </c>
      <c r="I213" s="696">
        <f>'[2]To date'!$M$249+'SUMMARY SHEET AUGUST -DECEMBER'!H247</f>
        <v>5705558.1400000006</v>
      </c>
      <c r="J213" s="647">
        <v>7463724</v>
      </c>
      <c r="K213" s="647">
        <f t="shared" si="31"/>
        <v>1170212</v>
      </c>
      <c r="L213" s="230">
        <f t="shared" si="30"/>
        <v>7463724</v>
      </c>
      <c r="M213" s="230" t="e">
        <f>#REF!-#REF!</f>
        <v>#REF!</v>
      </c>
      <c r="N213" s="231"/>
    </row>
    <row r="214" spans="1:14">
      <c r="A214" s="493">
        <v>30000</v>
      </c>
      <c r="B214" s="514" t="s">
        <v>89</v>
      </c>
      <c r="C214" s="494">
        <v>12</v>
      </c>
      <c r="D214" s="494">
        <v>12</v>
      </c>
      <c r="E214" s="514" t="s">
        <v>100</v>
      </c>
      <c r="F214" s="232" t="s">
        <v>256</v>
      </c>
      <c r="G214" s="647">
        <v>0</v>
      </c>
      <c r="H214" s="647">
        <v>1573378</v>
      </c>
      <c r="I214" s="696"/>
      <c r="J214" s="647">
        <v>1865936</v>
      </c>
      <c r="K214" s="647">
        <f t="shared" si="31"/>
        <v>292558</v>
      </c>
      <c r="L214" s="230">
        <f t="shared" si="30"/>
        <v>1865936</v>
      </c>
      <c r="M214" s="230" t="e">
        <f>#REF!-#REF!</f>
        <v>#REF!</v>
      </c>
      <c r="N214" s="231"/>
    </row>
    <row r="215" spans="1:14">
      <c r="A215" s="493">
        <v>30000</v>
      </c>
      <c r="B215" s="514" t="s">
        <v>89</v>
      </c>
      <c r="C215" s="494">
        <v>12</v>
      </c>
      <c r="D215" s="494">
        <v>12</v>
      </c>
      <c r="E215" s="514" t="s">
        <v>102</v>
      </c>
      <c r="F215" s="232" t="s">
        <v>257</v>
      </c>
      <c r="G215" s="647">
        <v>0</v>
      </c>
      <c r="H215" s="647">
        <v>8810917</v>
      </c>
      <c r="I215" s="696">
        <f>'[2]To date'!$M$251</f>
        <v>2097313.54</v>
      </c>
      <c r="J215" s="647">
        <v>10449237</v>
      </c>
      <c r="K215" s="647">
        <f t="shared" si="31"/>
        <v>1638320</v>
      </c>
      <c r="L215" s="230">
        <f t="shared" si="30"/>
        <v>10449237</v>
      </c>
      <c r="M215" s="230" t="e">
        <f>#REF!-#REF!</f>
        <v>#REF!</v>
      </c>
      <c r="N215" s="231"/>
    </row>
    <row r="216" spans="1:14">
      <c r="A216" s="493">
        <v>30000</v>
      </c>
      <c r="B216" s="514" t="s">
        <v>89</v>
      </c>
      <c r="C216" s="494">
        <v>12</v>
      </c>
      <c r="D216" s="494">
        <v>99</v>
      </c>
      <c r="E216" s="514" t="s">
        <v>155</v>
      </c>
      <c r="F216" s="232" t="s">
        <v>258</v>
      </c>
      <c r="G216" s="647">
        <v>0</v>
      </c>
      <c r="H216" s="647">
        <v>1258702</v>
      </c>
      <c r="I216" s="696"/>
      <c r="J216" s="647">
        <v>1492749</v>
      </c>
      <c r="K216" s="647">
        <f t="shared" si="31"/>
        <v>234047</v>
      </c>
      <c r="L216" s="230">
        <f t="shared" si="30"/>
        <v>1492749</v>
      </c>
      <c r="M216" s="230"/>
      <c r="N216" s="231"/>
    </row>
    <row r="217" spans="1:14" ht="12.95" thickBot="1">
      <c r="A217" s="493">
        <v>30000</v>
      </c>
      <c r="B217" s="514" t="s">
        <v>89</v>
      </c>
      <c r="C217" s="494">
        <v>12</v>
      </c>
      <c r="D217" s="494">
        <v>99</v>
      </c>
      <c r="E217" s="494">
        <v>99</v>
      </c>
      <c r="F217" s="232" t="s">
        <v>158</v>
      </c>
      <c r="G217" s="647">
        <v>94073.5</v>
      </c>
      <c r="H217" s="647">
        <v>4090783</v>
      </c>
      <c r="I217" s="696">
        <f>'[2]To date'!$M$253+'SUMMARY SHEET AUGUST -DECEMBER'!H251</f>
        <v>3601739.84</v>
      </c>
      <c r="J217" s="647">
        <v>4851442</v>
      </c>
      <c r="K217" s="647">
        <f t="shared" si="31"/>
        <v>760659</v>
      </c>
      <c r="L217" s="230">
        <f>SUM(L204:L216)</f>
        <v>89757358</v>
      </c>
      <c r="M217" s="230" t="e">
        <f>SUM(M204:M215)</f>
        <v>#REF!</v>
      </c>
      <c r="N217" s="231"/>
    </row>
    <row r="218" spans="1:14" ht="26.45" thickBot="1">
      <c r="F218" s="521" t="s">
        <v>259</v>
      </c>
      <c r="G218" s="653">
        <f>G217+G216+G215+G214+G213+G212</f>
        <v>8480280.7000000011</v>
      </c>
      <c r="H218" s="653">
        <f>SUM(H212:H217)</f>
        <v>31467561</v>
      </c>
      <c r="I218" s="700">
        <f>SUM(I212:I217)</f>
        <v>11404611.52</v>
      </c>
      <c r="J218" s="653">
        <f>SUM(J212:J217)</f>
        <v>37318700</v>
      </c>
      <c r="K218" s="653">
        <f t="shared" ref="K218:N218" si="32">SUM(K212:K217)</f>
        <v>5851139</v>
      </c>
      <c r="L218" s="633">
        <f t="shared" si="32"/>
        <v>122224616</v>
      </c>
      <c r="M218" s="186" t="e">
        <f t="shared" si="32"/>
        <v>#REF!</v>
      </c>
      <c r="N218" s="237">
        <f t="shared" si="32"/>
        <v>0</v>
      </c>
    </row>
    <row r="219" spans="1:14">
      <c r="F219" s="232"/>
      <c r="G219" s="651"/>
      <c r="H219" s="647"/>
      <c r="I219" s="696" t="s">
        <v>18</v>
      </c>
      <c r="J219" s="647"/>
      <c r="K219" s="647"/>
      <c r="L219" s="230"/>
      <c r="M219" s="230"/>
      <c r="N219" s="231"/>
    </row>
    <row r="220" spans="1:14" ht="26.1">
      <c r="F220" s="513" t="s">
        <v>260</v>
      </c>
      <c r="G220" s="651"/>
      <c r="H220" s="647"/>
      <c r="I220" s="696"/>
      <c r="J220" s="647"/>
      <c r="K220" s="647"/>
      <c r="L220" s="230"/>
      <c r="M220" s="230"/>
      <c r="N220" s="231"/>
    </row>
    <row r="221" spans="1:14">
      <c r="A221" s="493">
        <v>40000</v>
      </c>
      <c r="B221" s="514" t="s">
        <v>89</v>
      </c>
      <c r="C221" s="494">
        <v>12</v>
      </c>
      <c r="D221" s="494">
        <v>15</v>
      </c>
      <c r="E221" s="494">
        <v>14</v>
      </c>
      <c r="F221" s="232" t="s">
        <v>261</v>
      </c>
      <c r="G221" s="647">
        <v>1192407.6000000001</v>
      </c>
      <c r="H221" s="647">
        <v>837825000</v>
      </c>
      <c r="I221" s="696">
        <f>'[2]To date'!$M$257+'SUMMARY SHEET AUGUST -DECEMBER'!H255</f>
        <v>492581744.44</v>
      </c>
      <c r="J221" s="647">
        <v>890074000</v>
      </c>
      <c r="K221" s="647">
        <f t="shared" ref="K221:K226" si="33">J221-H221</f>
        <v>52249000</v>
      </c>
      <c r="L221" s="230"/>
      <c r="M221" s="230"/>
      <c r="N221" s="231"/>
    </row>
    <row r="222" spans="1:14">
      <c r="A222" s="493">
        <v>40000</v>
      </c>
      <c r="B222" s="514" t="s">
        <v>89</v>
      </c>
      <c r="C222" s="494">
        <v>12</v>
      </c>
      <c r="D222" s="514" t="s">
        <v>110</v>
      </c>
      <c r="E222" s="494">
        <v>12</v>
      </c>
      <c r="F222" s="232" t="s">
        <v>262</v>
      </c>
      <c r="G222" s="647">
        <v>480010</v>
      </c>
      <c r="H222" s="647">
        <v>1000000</v>
      </c>
      <c r="I222" s="696">
        <f>'[2]To date'!$M$258+'SUMMARY SHEET AUGUST -DECEMBER'!H256</f>
        <v>1613927.85</v>
      </c>
      <c r="J222" s="647">
        <v>2500000</v>
      </c>
      <c r="K222" s="647">
        <f t="shared" si="33"/>
        <v>1500000</v>
      </c>
      <c r="L222" s="230">
        <f>SUM(J222:J222)</f>
        <v>2500000</v>
      </c>
      <c r="M222" s="230" t="e">
        <f>#REF!-#REF!</f>
        <v>#REF!</v>
      </c>
      <c r="N222" s="231"/>
    </row>
    <row r="223" spans="1:14" ht="24.95">
      <c r="A223" s="493">
        <v>40000</v>
      </c>
      <c r="B223" s="514" t="s">
        <v>89</v>
      </c>
      <c r="C223" s="494">
        <v>12</v>
      </c>
      <c r="D223" s="514" t="s">
        <v>110</v>
      </c>
      <c r="E223" s="532">
        <v>20</v>
      </c>
      <c r="F223" s="232" t="s">
        <v>263</v>
      </c>
      <c r="G223" s="647">
        <v>0</v>
      </c>
      <c r="H223" s="647">
        <v>310000</v>
      </c>
      <c r="I223" s="696">
        <f>'[2]To date'!$M$259+'SUMMARY SHEET AUGUST -DECEMBER'!H257</f>
        <v>648840.49</v>
      </c>
      <c r="J223" s="647">
        <v>740000</v>
      </c>
      <c r="K223" s="647">
        <f t="shared" si="33"/>
        <v>430000</v>
      </c>
      <c r="L223" s="230">
        <f>SUM(J223:J223)</f>
        <v>740000</v>
      </c>
      <c r="M223" s="230" t="e">
        <f>#REF!-#REF!</f>
        <v>#REF!</v>
      </c>
      <c r="N223" s="231"/>
    </row>
    <row r="224" spans="1:14">
      <c r="A224" s="493">
        <v>40000</v>
      </c>
      <c r="B224" s="514" t="s">
        <v>89</v>
      </c>
      <c r="C224" s="494">
        <v>12</v>
      </c>
      <c r="D224" s="514" t="s">
        <v>110</v>
      </c>
      <c r="E224" s="532">
        <v>23</v>
      </c>
      <c r="F224" s="232" t="s">
        <v>264</v>
      </c>
      <c r="G224" s="647"/>
      <c r="H224" s="647">
        <v>0</v>
      </c>
      <c r="I224" s="696">
        <f>'SUMMARY SHEET AUGUST -DECEMBER'!H258</f>
        <v>199706166.86000001</v>
      </c>
      <c r="J224" s="647"/>
      <c r="K224" s="647">
        <f t="shared" si="33"/>
        <v>0</v>
      </c>
      <c r="L224" s="230">
        <f>SUM(J224:J224)</f>
        <v>0</v>
      </c>
      <c r="M224" s="230" t="e">
        <f>#REF!-#REF!</f>
        <v>#REF!</v>
      </c>
      <c r="N224" s="231"/>
    </row>
    <row r="225" spans="1:14">
      <c r="A225" s="493">
        <v>40000</v>
      </c>
      <c r="B225" s="514" t="s">
        <v>89</v>
      </c>
      <c r="C225" s="494">
        <v>12</v>
      </c>
      <c r="D225" s="514" t="s">
        <v>202</v>
      </c>
      <c r="E225" s="514" t="s">
        <v>94</v>
      </c>
      <c r="F225" s="232" t="s">
        <v>265</v>
      </c>
      <c r="G225" s="647">
        <v>233372034.47</v>
      </c>
      <c r="H225" s="647">
        <v>800000000</v>
      </c>
      <c r="I225" s="696">
        <f>'[2]To date'!$M$261+'SUMMARY SHEET AUGUST -DECEMBER'!H259</f>
        <v>565319717.33000004</v>
      </c>
      <c r="J225" s="647">
        <v>1100000000</v>
      </c>
      <c r="K225" s="647">
        <f t="shared" si="33"/>
        <v>300000000</v>
      </c>
      <c r="L225" s="230">
        <f>SUM(J225:J225)</f>
        <v>1100000000</v>
      </c>
      <c r="M225" s="230" t="e">
        <f>#REF!-#REF!</f>
        <v>#REF!</v>
      </c>
      <c r="N225" s="231"/>
    </row>
    <row r="226" spans="1:14" ht="12.95" thickBot="1">
      <c r="A226" s="493">
        <v>40000</v>
      </c>
      <c r="B226" s="514" t="s">
        <v>89</v>
      </c>
      <c r="C226" s="494">
        <v>12</v>
      </c>
      <c r="D226" s="494">
        <v>99</v>
      </c>
      <c r="E226" s="494">
        <v>99</v>
      </c>
      <c r="F226" s="232" t="s">
        <v>158</v>
      </c>
      <c r="G226" s="647">
        <v>1500</v>
      </c>
      <c r="H226" s="647">
        <v>865000</v>
      </c>
      <c r="I226" s="696">
        <f>'[2]To date'!$M$262+'SUMMARY SHEET AUGUST -DECEMBER'!H260</f>
        <v>489975.4</v>
      </c>
      <c r="J226" s="647">
        <v>1833000</v>
      </c>
      <c r="K226" s="647">
        <f t="shared" si="33"/>
        <v>968000</v>
      </c>
      <c r="L226" s="230">
        <f>SUM(J226:J226)</f>
        <v>1833000</v>
      </c>
      <c r="M226" s="230" t="e">
        <f>#REF!-#REF!</f>
        <v>#REF!</v>
      </c>
      <c r="N226" s="231"/>
    </row>
    <row r="227" spans="1:14" ht="26.45" thickBot="1">
      <c r="F227" s="521" t="s">
        <v>266</v>
      </c>
      <c r="G227" s="653">
        <f>G226+G225+G224+G223+G222+G221</f>
        <v>235045952.06999999</v>
      </c>
      <c r="H227" s="653">
        <f>SUM(H221:H226)</f>
        <v>1640000000</v>
      </c>
      <c r="I227" s="700">
        <f>SUM(I221:I226)</f>
        <v>1260360372.3700004</v>
      </c>
      <c r="J227" s="653">
        <f>SUM(J221:J226)</f>
        <v>1995147000</v>
      </c>
      <c r="K227" s="653">
        <f t="shared" ref="K227:N227" si="34">SUM(K221:K226)</f>
        <v>355147000</v>
      </c>
      <c r="L227" s="633">
        <f t="shared" si="34"/>
        <v>1105073000</v>
      </c>
      <c r="M227" s="186" t="e">
        <f t="shared" si="34"/>
        <v>#REF!</v>
      </c>
      <c r="N227" s="237">
        <f t="shared" si="34"/>
        <v>0</v>
      </c>
    </row>
    <row r="228" spans="1:14">
      <c r="F228" s="232"/>
      <c r="G228" s="651"/>
      <c r="H228" s="647"/>
      <c r="I228" s="696" t="s">
        <v>18</v>
      </c>
      <c r="J228" s="647"/>
      <c r="K228" s="647"/>
      <c r="L228" s="230"/>
      <c r="M228" s="230"/>
      <c r="N228" s="231"/>
    </row>
    <row r="229" spans="1:14" ht="26.1">
      <c r="F229" s="513" t="s">
        <v>267</v>
      </c>
      <c r="G229" s="651"/>
      <c r="H229" s="647"/>
      <c r="I229" s="696" t="s">
        <v>18</v>
      </c>
      <c r="J229" s="647"/>
      <c r="K229" s="647"/>
      <c r="L229" s="230">
        <f>SUM(J229:J229)</f>
        <v>0</v>
      </c>
      <c r="M229" s="230" t="e">
        <f>#REF!-#REF!</f>
        <v>#REF!</v>
      </c>
      <c r="N229" s="231"/>
    </row>
    <row r="230" spans="1:14" ht="24.95">
      <c r="A230" s="493">
        <v>41000</v>
      </c>
      <c r="B230" s="514" t="s">
        <v>89</v>
      </c>
      <c r="C230" s="494">
        <v>12</v>
      </c>
      <c r="D230" s="494">
        <v>14</v>
      </c>
      <c r="E230" s="514" t="s">
        <v>102</v>
      </c>
      <c r="F230" s="233" t="s">
        <v>268</v>
      </c>
      <c r="G230" s="647"/>
      <c r="H230" s="647"/>
      <c r="I230" s="696" t="s">
        <v>18</v>
      </c>
      <c r="J230" s="647"/>
      <c r="K230" s="647"/>
      <c r="L230" s="230">
        <f>SUM(J230:J230)</f>
        <v>0</v>
      </c>
      <c r="M230" s="230" t="e">
        <f>#REF!-#REF!</f>
        <v>#REF!</v>
      </c>
      <c r="N230" s="231"/>
    </row>
    <row r="231" spans="1:14">
      <c r="A231" s="493">
        <v>41000</v>
      </c>
      <c r="B231" s="514" t="s">
        <v>89</v>
      </c>
      <c r="C231" s="494">
        <v>12</v>
      </c>
      <c r="D231" s="494">
        <v>10</v>
      </c>
      <c r="E231" s="514" t="s">
        <v>94</v>
      </c>
      <c r="F231" s="232" t="s">
        <v>269</v>
      </c>
      <c r="G231" s="647">
        <v>352800</v>
      </c>
      <c r="H231" s="647">
        <v>1200000</v>
      </c>
      <c r="I231" s="696">
        <f>'[2]To date'!$M$267+'SUMMARY SHEET AUGUST -DECEMBER'!H265</f>
        <v>264215.78000000003</v>
      </c>
      <c r="J231" s="647">
        <v>1200000</v>
      </c>
      <c r="K231" s="647">
        <f>J231-H231</f>
        <v>0</v>
      </c>
      <c r="L231" s="230">
        <f>SUM(J231:J231)</f>
        <v>1200000</v>
      </c>
      <c r="M231" s="230" t="e">
        <f>#REF!-#REF!</f>
        <v>#REF!</v>
      </c>
      <c r="N231" s="231"/>
    </row>
    <row r="232" spans="1:14">
      <c r="A232" s="493">
        <v>41000</v>
      </c>
      <c r="B232" s="514" t="s">
        <v>89</v>
      </c>
      <c r="C232" s="494">
        <v>12</v>
      </c>
      <c r="D232" s="494">
        <v>14</v>
      </c>
      <c r="E232" s="514" t="s">
        <v>110</v>
      </c>
      <c r="F232" s="232" t="s">
        <v>270</v>
      </c>
      <c r="G232" s="647">
        <v>3218218.22</v>
      </c>
      <c r="H232" s="647">
        <v>3600000</v>
      </c>
      <c r="I232" s="696">
        <f>'SUMMARY SHEET AUGUST -DECEMBER'!H266</f>
        <v>15000</v>
      </c>
      <c r="J232" s="647">
        <v>3000000</v>
      </c>
      <c r="K232" s="647">
        <f>J232-H232</f>
        <v>-600000</v>
      </c>
      <c r="L232" s="230">
        <f>SUM(J232:J232)</f>
        <v>3000000</v>
      </c>
      <c r="M232" s="230" t="e">
        <f>#REF!-#REF!</f>
        <v>#REF!</v>
      </c>
      <c r="N232" s="231"/>
    </row>
    <row r="233" spans="1:14">
      <c r="A233" s="493">
        <v>41000</v>
      </c>
      <c r="B233" s="514" t="s">
        <v>89</v>
      </c>
      <c r="C233" s="494">
        <v>12</v>
      </c>
      <c r="D233" s="494">
        <v>14</v>
      </c>
      <c r="E233" s="514" t="s">
        <v>155</v>
      </c>
      <c r="F233" s="232" t="s">
        <v>271</v>
      </c>
      <c r="G233" s="647">
        <v>400</v>
      </c>
      <c r="H233" s="647">
        <v>7200</v>
      </c>
      <c r="I233" s="696">
        <f>'SUMMARY SHEET AUGUST -DECEMBER'!H267</f>
        <v>400</v>
      </c>
      <c r="J233" s="647">
        <v>1200</v>
      </c>
      <c r="K233" s="647">
        <f>J233-H233</f>
        <v>-6000</v>
      </c>
      <c r="L233" s="230"/>
      <c r="M233" s="230" t="e">
        <f>#REF!-#REF!</f>
        <v>#REF!</v>
      </c>
      <c r="N233" s="231"/>
    </row>
    <row r="234" spans="1:14">
      <c r="A234" s="493">
        <v>41000</v>
      </c>
      <c r="B234" s="514" t="s">
        <v>89</v>
      </c>
      <c r="C234" s="494">
        <v>12</v>
      </c>
      <c r="D234" s="494">
        <v>99</v>
      </c>
      <c r="E234" s="514" t="s">
        <v>110</v>
      </c>
      <c r="F234" s="232" t="s">
        <v>272</v>
      </c>
      <c r="G234" s="647">
        <v>9185297.25</v>
      </c>
      <c r="H234" s="647">
        <v>23000000</v>
      </c>
      <c r="I234" s="696">
        <f>'SUMMARY SHEET AUGUST -DECEMBER'!H268</f>
        <v>825745.79</v>
      </c>
      <c r="J234" s="647">
        <v>12000000</v>
      </c>
      <c r="K234" s="647">
        <f>J234-H234</f>
        <v>-11000000</v>
      </c>
      <c r="L234" s="230">
        <f>SUM(L222:L233)</f>
        <v>2214346000</v>
      </c>
      <c r="M234" s="230" t="e">
        <f>SUM(M222:M233)</f>
        <v>#REF!</v>
      </c>
      <c r="N234" s="231"/>
    </row>
    <row r="235" spans="1:14" ht="12.95" thickBot="1">
      <c r="A235" s="493">
        <v>41000</v>
      </c>
      <c r="B235" s="514" t="s">
        <v>89</v>
      </c>
      <c r="C235" s="494">
        <v>12</v>
      </c>
      <c r="D235" s="494">
        <v>99</v>
      </c>
      <c r="E235" s="494">
        <v>99</v>
      </c>
      <c r="F235" s="232" t="s">
        <v>158</v>
      </c>
      <c r="G235" s="647">
        <v>2642076</v>
      </c>
      <c r="H235" s="647">
        <v>6000000</v>
      </c>
      <c r="I235" s="696">
        <f>'[2]To date'!$M$271+'SUMMARY SHEET AUGUST -DECEMBER'!H269</f>
        <v>59591397.850000001</v>
      </c>
      <c r="J235" s="647">
        <v>9600000</v>
      </c>
      <c r="K235" s="647">
        <f>J235-H235</f>
        <v>3600000</v>
      </c>
      <c r="L235" s="230"/>
      <c r="M235" s="230"/>
      <c r="N235" s="231"/>
    </row>
    <row r="236" spans="1:14" ht="26.45" thickBot="1">
      <c r="F236" s="521" t="s">
        <v>273</v>
      </c>
      <c r="G236" s="653">
        <f>G235+G234+G233+G232+G231</f>
        <v>15398791.470000001</v>
      </c>
      <c r="H236" s="653">
        <f>SUM(H231:H235)</f>
        <v>33807200</v>
      </c>
      <c r="I236" s="700">
        <f>SUM(I230:I235)</f>
        <v>60696759.420000002</v>
      </c>
      <c r="J236" s="653">
        <f>SUM(J230:J235)</f>
        <v>25801200</v>
      </c>
      <c r="K236" s="653">
        <f t="shared" ref="K236:N236" si="35">SUM(K230:K235)</f>
        <v>-8006000</v>
      </c>
      <c r="L236" s="633">
        <f t="shared" si="35"/>
        <v>2218546000</v>
      </c>
      <c r="M236" s="186" t="e">
        <f t="shared" si="35"/>
        <v>#REF!</v>
      </c>
      <c r="N236" s="237">
        <f t="shared" si="35"/>
        <v>0</v>
      </c>
    </row>
    <row r="237" spans="1:14">
      <c r="F237" s="232"/>
      <c r="G237" s="651"/>
      <c r="H237" s="647"/>
      <c r="I237" s="696" t="s">
        <v>274</v>
      </c>
      <c r="J237" s="647"/>
      <c r="K237" s="647"/>
      <c r="L237" s="230"/>
      <c r="M237" s="230"/>
      <c r="N237" s="231"/>
    </row>
    <row r="238" spans="1:14" s="722" customFormat="1" ht="12.95">
      <c r="A238" s="716"/>
      <c r="B238" s="506"/>
      <c r="C238" s="506"/>
      <c r="D238" s="506"/>
      <c r="E238" s="733"/>
      <c r="F238" s="734" t="s">
        <v>275</v>
      </c>
      <c r="G238" s="717"/>
      <c r="H238" s="718"/>
      <c r="I238" s="719" t="s">
        <v>18</v>
      </c>
      <c r="J238" s="718"/>
      <c r="K238" s="718"/>
      <c r="L238" s="720">
        <f>SUM(J238:J238)</f>
        <v>0</v>
      </c>
      <c r="M238" s="720" t="e">
        <f>#REF!-#REF!</f>
        <v>#REF!</v>
      </c>
      <c r="N238" s="721"/>
    </row>
    <row r="239" spans="1:14">
      <c r="A239" s="493">
        <v>42000</v>
      </c>
      <c r="B239" s="514" t="s">
        <v>89</v>
      </c>
      <c r="C239" s="494">
        <v>12</v>
      </c>
      <c r="D239" s="514" t="s">
        <v>110</v>
      </c>
      <c r="E239" s="494">
        <v>24</v>
      </c>
      <c r="F239" s="232" t="s">
        <v>276</v>
      </c>
      <c r="G239" s="647"/>
      <c r="H239" s="647"/>
      <c r="I239" s="696" t="s">
        <v>18</v>
      </c>
      <c r="J239" s="647"/>
      <c r="K239" s="647"/>
      <c r="L239" s="230">
        <f>SUM(J239:J239)</f>
        <v>0</v>
      </c>
      <c r="M239" s="230" t="e">
        <f>#REF!-#REF!</f>
        <v>#REF!</v>
      </c>
      <c r="N239" s="231"/>
    </row>
    <row r="240" spans="1:14">
      <c r="A240" s="493">
        <v>42000</v>
      </c>
      <c r="B240" s="514" t="s">
        <v>89</v>
      </c>
      <c r="C240" s="494">
        <v>12</v>
      </c>
      <c r="D240" s="514" t="s">
        <v>110</v>
      </c>
      <c r="E240" s="534" t="s">
        <v>94</v>
      </c>
      <c r="F240" s="232" t="s">
        <v>277</v>
      </c>
      <c r="G240" s="647">
        <v>0</v>
      </c>
      <c r="H240" s="647">
        <v>8450000</v>
      </c>
      <c r="I240" s="696">
        <f>'[2]To date'!$M$276</f>
        <v>3619256.85</v>
      </c>
      <c r="J240" s="647">
        <v>8960000</v>
      </c>
      <c r="K240" s="647">
        <f>J240-H240</f>
        <v>510000</v>
      </c>
      <c r="L240" s="230">
        <f>SUM(J240:J240)</f>
        <v>8960000</v>
      </c>
      <c r="M240" s="230" t="e">
        <f>#REF!-#REF!</f>
        <v>#REF!</v>
      </c>
      <c r="N240" s="231"/>
    </row>
    <row r="241" spans="1:14" ht="24.95">
      <c r="A241" s="493">
        <v>42000</v>
      </c>
      <c r="B241" s="514" t="s">
        <v>89</v>
      </c>
      <c r="C241" s="494">
        <v>12</v>
      </c>
      <c r="D241" s="514">
        <v>99</v>
      </c>
      <c r="E241" s="514" t="s">
        <v>91</v>
      </c>
      <c r="F241" s="233" t="s">
        <v>278</v>
      </c>
      <c r="G241" s="647"/>
      <c r="H241" s="647"/>
      <c r="I241" s="696"/>
      <c r="J241" s="647"/>
      <c r="K241" s="647">
        <f>J241-H241</f>
        <v>0</v>
      </c>
      <c r="L241" s="230">
        <f>SUM(J241:J241)</f>
        <v>0</v>
      </c>
      <c r="M241" s="230" t="e">
        <f>#REF!-#REF!</f>
        <v>#REF!</v>
      </c>
      <c r="N241" s="231"/>
    </row>
    <row r="242" spans="1:14">
      <c r="A242" s="493">
        <v>42000</v>
      </c>
      <c r="B242" s="514" t="s">
        <v>89</v>
      </c>
      <c r="C242" s="494">
        <v>12</v>
      </c>
      <c r="D242" s="514" t="s">
        <v>202</v>
      </c>
      <c r="E242" s="534" t="s">
        <v>91</v>
      </c>
      <c r="F242" s="232" t="s">
        <v>279</v>
      </c>
      <c r="G242" s="647">
        <v>0</v>
      </c>
      <c r="H242" s="647">
        <v>4800000</v>
      </c>
      <c r="I242" s="696">
        <f>'[2]To date'!$M$278+'SUMMARY SHEET AUGUST -DECEMBER'!H276</f>
        <v>12108085.649999999</v>
      </c>
      <c r="J242" s="647">
        <v>5200000</v>
      </c>
      <c r="K242" s="647">
        <f>J242-H242</f>
        <v>400000</v>
      </c>
      <c r="L242" s="230"/>
      <c r="M242" s="230"/>
      <c r="N242" s="231"/>
    </row>
    <row r="243" spans="1:14">
      <c r="A243" s="493">
        <v>42000</v>
      </c>
      <c r="B243" s="514" t="s">
        <v>89</v>
      </c>
      <c r="C243" s="494">
        <v>12</v>
      </c>
      <c r="D243" s="494">
        <v>99</v>
      </c>
      <c r="E243" s="494">
        <v>99</v>
      </c>
      <c r="F243" s="232" t="s">
        <v>158</v>
      </c>
      <c r="G243" s="647">
        <v>46732.44</v>
      </c>
      <c r="H243" s="647">
        <v>120000</v>
      </c>
      <c r="I243" s="696">
        <f>'[2]To date'!$M$279+'SUMMARY SHEET AUGUST -DECEMBER'!H277+22000</f>
        <v>3339556.93</v>
      </c>
      <c r="J243" s="647">
        <v>140000</v>
      </c>
      <c r="K243" s="647">
        <f>J243-H243</f>
        <v>20000</v>
      </c>
      <c r="L243" s="230">
        <f>SUM(J243:J243)</f>
        <v>140000</v>
      </c>
      <c r="M243" s="230" t="e">
        <f>#REF!-#REF!</f>
        <v>#REF!</v>
      </c>
      <c r="N243" s="231"/>
    </row>
    <row r="244" spans="1:14" ht="25.5" thickBot="1">
      <c r="A244" s="493">
        <v>42000</v>
      </c>
      <c r="B244" s="514" t="s">
        <v>89</v>
      </c>
      <c r="C244" s="494">
        <v>12</v>
      </c>
      <c r="F244" s="232" t="s">
        <v>280</v>
      </c>
      <c r="G244" s="647">
        <v>0</v>
      </c>
      <c r="H244" s="647">
        <v>240000</v>
      </c>
      <c r="I244" s="696">
        <f>'SUMMARY SHEET AUGUST -DECEMBER'!H278</f>
        <v>203714.83</v>
      </c>
      <c r="J244" s="647">
        <v>396000</v>
      </c>
      <c r="K244" s="647">
        <f>J244-H244</f>
        <v>156000</v>
      </c>
      <c r="L244" s="230">
        <f>SUM(J244:J244)</f>
        <v>396000</v>
      </c>
      <c r="M244" s="230"/>
      <c r="N244" s="231"/>
    </row>
    <row r="245" spans="1:14" ht="13.5" thickBot="1">
      <c r="E245" s="532"/>
      <c r="F245" s="521" t="s">
        <v>281</v>
      </c>
      <c r="G245" s="653">
        <f>G243</f>
        <v>46732.44</v>
      </c>
      <c r="H245" s="653">
        <f>SUM(H240:H244)</f>
        <v>13610000</v>
      </c>
      <c r="I245" s="700">
        <f>SUM(I239:I244)</f>
        <v>19270614.259999998</v>
      </c>
      <c r="J245" s="653">
        <f>SUM(J239:J244)</f>
        <v>14696000</v>
      </c>
      <c r="K245" s="653">
        <f t="shared" ref="K245:N245" si="36">SUM(K239:K244)</f>
        <v>1086000</v>
      </c>
      <c r="L245" s="633">
        <f t="shared" si="36"/>
        <v>9496000</v>
      </c>
      <c r="M245" s="186" t="e">
        <f t="shared" si="36"/>
        <v>#REF!</v>
      </c>
      <c r="N245" s="237">
        <f t="shared" si="36"/>
        <v>0</v>
      </c>
    </row>
    <row r="246" spans="1:14" ht="12.95">
      <c r="E246" s="532"/>
      <c r="F246" s="513"/>
      <c r="G246" s="661"/>
      <c r="H246" s="661"/>
      <c r="I246" s="696"/>
      <c r="J246" s="661"/>
      <c r="K246" s="661"/>
      <c r="L246" s="546"/>
      <c r="M246" s="546"/>
      <c r="N246" s="546"/>
    </row>
    <row r="247" spans="1:14" ht="12.95">
      <c r="E247" s="532"/>
      <c r="F247" s="513"/>
      <c r="G247" s="661"/>
      <c r="H247" s="661"/>
      <c r="I247" s="696"/>
      <c r="J247" s="661"/>
      <c r="K247" s="661"/>
      <c r="L247" s="546"/>
      <c r="M247" s="546"/>
      <c r="N247" s="546"/>
    </row>
    <row r="248" spans="1:14" ht="12.95">
      <c r="F248" s="513" t="s">
        <v>282</v>
      </c>
      <c r="G248" s="651"/>
      <c r="H248" s="647"/>
      <c r="I248" s="696" t="s">
        <v>18</v>
      </c>
      <c r="J248" s="647"/>
      <c r="K248" s="647"/>
      <c r="L248" s="230">
        <f>SUM(J248:J248)</f>
        <v>0</v>
      </c>
      <c r="M248" s="230" t="e">
        <f>#REF!-#REF!</f>
        <v>#REF!</v>
      </c>
      <c r="N248" s="231"/>
    </row>
    <row r="249" spans="1:14" ht="12.95" thickBot="1">
      <c r="A249" s="493">
        <v>42035</v>
      </c>
      <c r="B249" s="514" t="s">
        <v>89</v>
      </c>
      <c r="C249" s="494">
        <v>12</v>
      </c>
      <c r="D249" s="494">
        <v>16</v>
      </c>
      <c r="E249" s="534" t="s">
        <v>94</v>
      </c>
      <c r="F249" s="232" t="s">
        <v>283</v>
      </c>
      <c r="G249" s="647">
        <v>34643.5</v>
      </c>
      <c r="H249" s="647">
        <v>1008000</v>
      </c>
      <c r="I249" s="696">
        <f>'[2]To date'!$M$294+'SUMMARY SHEET AUGUST -DECEMBER'!H292</f>
        <v>685500</v>
      </c>
      <c r="J249" s="647"/>
      <c r="K249" s="647">
        <f>J249-H249</f>
        <v>-1008000</v>
      </c>
      <c r="L249" s="230">
        <f>SUM(J249:J249)</f>
        <v>0</v>
      </c>
      <c r="M249" s="230" t="e">
        <f>#REF!-#REF!</f>
        <v>#REF!</v>
      </c>
      <c r="N249" s="231"/>
    </row>
    <row r="250" spans="1:14" ht="13.5" thickBot="1">
      <c r="E250" s="532"/>
      <c r="F250" s="521" t="s">
        <v>284</v>
      </c>
      <c r="G250" s="653">
        <v>1008000</v>
      </c>
      <c r="H250" s="653">
        <f>H249</f>
        <v>1008000</v>
      </c>
      <c r="I250" s="700">
        <f>SUM(I249)</f>
        <v>685500</v>
      </c>
      <c r="J250" s="653">
        <f>SUM(J249)</f>
        <v>0</v>
      </c>
      <c r="K250" s="653">
        <f t="shared" ref="K250:N250" si="37">SUM(K249)</f>
        <v>-1008000</v>
      </c>
      <c r="L250" s="633">
        <f t="shared" si="37"/>
        <v>0</v>
      </c>
      <c r="M250" s="186" t="e">
        <f t="shared" si="37"/>
        <v>#REF!</v>
      </c>
      <c r="N250" s="237">
        <f t="shared" si="37"/>
        <v>0</v>
      </c>
    </row>
    <row r="251" spans="1:14">
      <c r="E251" s="532"/>
      <c r="F251" s="232"/>
      <c r="G251" s="651"/>
      <c r="H251" s="647"/>
      <c r="I251" s="696" t="s">
        <v>18</v>
      </c>
      <c r="J251" s="647"/>
      <c r="K251" s="647"/>
      <c r="L251" s="230"/>
      <c r="M251" s="230"/>
      <c r="N251" s="231"/>
    </row>
    <row r="252" spans="1:14" ht="26.1">
      <c r="E252" s="532"/>
      <c r="F252" s="513" t="s">
        <v>285</v>
      </c>
      <c r="G252" s="651"/>
      <c r="H252" s="647" t="s">
        <v>18</v>
      </c>
      <c r="I252" s="696" t="s">
        <v>18</v>
      </c>
      <c r="J252" s="647" t="s">
        <v>18</v>
      </c>
      <c r="K252" s="647"/>
      <c r="L252" s="230"/>
      <c r="M252" s="230"/>
      <c r="N252" s="231"/>
    </row>
    <row r="253" spans="1:14">
      <c r="A253" s="493">
        <v>46000</v>
      </c>
      <c r="B253" s="514" t="s">
        <v>89</v>
      </c>
      <c r="C253" s="494">
        <v>12</v>
      </c>
      <c r="D253" s="494">
        <v>17</v>
      </c>
      <c r="E253" s="532">
        <v>14</v>
      </c>
      <c r="F253" s="232" t="s">
        <v>137</v>
      </c>
      <c r="G253" s="651">
        <v>0</v>
      </c>
      <c r="H253" s="664">
        <v>8000</v>
      </c>
      <c r="I253" s="696" t="s">
        <v>18</v>
      </c>
      <c r="J253" s="664"/>
      <c r="K253" s="647">
        <f>J253-H253</f>
        <v>-8000</v>
      </c>
      <c r="L253" s="230"/>
      <c r="M253" s="230"/>
      <c r="N253" s="231"/>
    </row>
    <row r="254" spans="1:14" ht="12.95" thickBot="1">
      <c r="A254" s="493">
        <v>46000</v>
      </c>
      <c r="B254" s="514" t="s">
        <v>89</v>
      </c>
      <c r="C254" s="494">
        <v>12</v>
      </c>
      <c r="D254" s="494">
        <v>99</v>
      </c>
      <c r="E254" s="532">
        <v>99</v>
      </c>
      <c r="F254" s="232" t="s">
        <v>116</v>
      </c>
      <c r="G254" s="647">
        <v>0</v>
      </c>
      <c r="H254" s="647">
        <v>50000</v>
      </c>
      <c r="I254" s="696">
        <f>'[2]To date'!$M$299+'SUMMARY SHEET AUGUST -DECEMBER'!H297</f>
        <v>181308.74</v>
      </c>
      <c r="J254" s="647"/>
      <c r="K254" s="647">
        <f>J254-H254</f>
        <v>-50000</v>
      </c>
      <c r="L254" s="230"/>
      <c r="M254" s="230"/>
      <c r="N254" s="231"/>
    </row>
    <row r="255" spans="1:14" ht="26.45" thickBot="1">
      <c r="E255" s="532"/>
      <c r="F255" s="521" t="s">
        <v>286</v>
      </c>
      <c r="G255" s="653">
        <f>G254</f>
        <v>0</v>
      </c>
      <c r="H255" s="653">
        <f>SUM(H253:H254)</f>
        <v>58000</v>
      </c>
      <c r="I255" s="700">
        <f>SUM(I253:I254)</f>
        <v>181308.74</v>
      </c>
      <c r="J255" s="653">
        <f>SUM(J253:J254)</f>
        <v>0</v>
      </c>
      <c r="K255" s="653">
        <f t="shared" ref="K255:N255" si="38">SUM(K253:K254)</f>
        <v>-58000</v>
      </c>
      <c r="L255" s="633">
        <f t="shared" si="38"/>
        <v>0</v>
      </c>
      <c r="M255" s="186">
        <f t="shared" si="38"/>
        <v>0</v>
      </c>
      <c r="N255" s="237">
        <f t="shared" si="38"/>
        <v>0</v>
      </c>
    </row>
    <row r="256" spans="1:14">
      <c r="E256" s="532"/>
      <c r="F256" s="232"/>
      <c r="G256" s="651"/>
      <c r="H256" s="647"/>
      <c r="I256" s="696" t="s">
        <v>18</v>
      </c>
      <c r="J256" s="647"/>
      <c r="K256" s="647"/>
      <c r="L256" s="230"/>
      <c r="M256" s="230"/>
      <c r="N256" s="231"/>
    </row>
    <row r="257" spans="1:14" ht="12.95">
      <c r="F257" s="229"/>
      <c r="G257" s="661"/>
      <c r="H257" s="661"/>
      <c r="I257" s="696"/>
      <c r="J257" s="661"/>
      <c r="K257" s="661"/>
      <c r="L257" s="230"/>
      <c r="M257" s="230"/>
      <c r="N257" s="231"/>
    </row>
    <row r="258" spans="1:14" ht="26.1">
      <c r="F258" s="229" t="s">
        <v>287</v>
      </c>
      <c r="G258" s="651"/>
      <c r="H258" s="647"/>
      <c r="I258" s="696" t="s">
        <v>18</v>
      </c>
      <c r="J258" s="647"/>
      <c r="K258" s="647"/>
      <c r="L258" s="230"/>
      <c r="M258" s="230"/>
      <c r="N258" s="231"/>
    </row>
    <row r="259" spans="1:14">
      <c r="A259" s="493">
        <v>51000</v>
      </c>
      <c r="B259" s="547" t="s">
        <v>89</v>
      </c>
      <c r="C259" s="494">
        <v>12</v>
      </c>
      <c r="D259" s="494">
        <v>99</v>
      </c>
      <c r="E259" s="494">
        <v>99</v>
      </c>
      <c r="F259" s="233" t="s">
        <v>288</v>
      </c>
      <c r="G259" s="647">
        <v>0</v>
      </c>
      <c r="H259" s="647">
        <v>0</v>
      </c>
      <c r="I259" s="696">
        <f>'[2]To date'!$M$309</f>
        <v>346900.68</v>
      </c>
      <c r="J259" s="647"/>
      <c r="K259" s="647">
        <f>J259-H259</f>
        <v>0</v>
      </c>
      <c r="L259" s="230"/>
      <c r="M259" s="230"/>
      <c r="N259" s="231"/>
    </row>
    <row r="260" spans="1:14">
      <c r="A260" s="493">
        <v>51000</v>
      </c>
      <c r="B260" s="514" t="s">
        <v>89</v>
      </c>
      <c r="C260" s="494">
        <v>12</v>
      </c>
      <c r="D260" s="494">
        <v>16</v>
      </c>
      <c r="E260" s="494">
        <v>19</v>
      </c>
      <c r="F260" s="232" t="s">
        <v>289</v>
      </c>
      <c r="G260" s="647"/>
      <c r="H260" s="647">
        <v>365000</v>
      </c>
      <c r="I260" s="696">
        <f>'[2]To date'!$M$310</f>
        <v>153400</v>
      </c>
      <c r="J260" s="647">
        <v>365000</v>
      </c>
      <c r="K260" s="647">
        <f>J260-H260</f>
        <v>0</v>
      </c>
      <c r="L260" s="230"/>
      <c r="M260" s="230"/>
      <c r="N260" s="231"/>
    </row>
    <row r="261" spans="1:14" ht="12.95" thickBot="1">
      <c r="A261" s="493">
        <v>51000</v>
      </c>
      <c r="B261" s="547" t="s">
        <v>89</v>
      </c>
      <c r="C261" s="494">
        <v>12</v>
      </c>
      <c r="D261" s="494">
        <v>99</v>
      </c>
      <c r="E261" s="494">
        <v>99</v>
      </c>
      <c r="F261" s="233" t="s">
        <v>116</v>
      </c>
      <c r="G261" s="647">
        <v>445440</v>
      </c>
      <c r="H261" s="647">
        <v>2101000</v>
      </c>
      <c r="I261" s="696">
        <f>'[2]To date'!$M$311+'SUMMARY SHEET AUGUST -DECEMBER'!H369</f>
        <v>2798295.0300000003</v>
      </c>
      <c r="J261" s="647">
        <v>2101000</v>
      </c>
      <c r="K261" s="647">
        <f>J261-H261</f>
        <v>0</v>
      </c>
      <c r="L261" s="230"/>
      <c r="M261" s="230"/>
      <c r="N261" s="231"/>
    </row>
    <row r="262" spans="1:14" ht="26.45" thickBot="1">
      <c r="F262" s="234" t="s">
        <v>290</v>
      </c>
      <c r="G262" s="653">
        <f>G261</f>
        <v>445440</v>
      </c>
      <c r="H262" s="653">
        <f>H260+H261</f>
        <v>2466000</v>
      </c>
      <c r="I262" s="700">
        <f t="shared" ref="I262:N262" si="39">SUM(I259:I261)</f>
        <v>3298595.7100000004</v>
      </c>
      <c r="J262" s="653">
        <f t="shared" si="39"/>
        <v>2466000</v>
      </c>
      <c r="K262" s="653">
        <f t="shared" si="39"/>
        <v>0</v>
      </c>
      <c r="L262" s="633">
        <f t="shared" si="39"/>
        <v>0</v>
      </c>
      <c r="M262" s="186">
        <f t="shared" si="39"/>
        <v>0</v>
      </c>
      <c r="N262" s="237">
        <f t="shared" si="39"/>
        <v>0</v>
      </c>
    </row>
    <row r="263" spans="1:14" ht="26.1">
      <c r="B263" s="514"/>
      <c r="F263" s="229" t="s">
        <v>291</v>
      </c>
      <c r="G263" s="651"/>
      <c r="H263" s="647"/>
      <c r="I263" s="696" t="s">
        <v>18</v>
      </c>
      <c r="J263" s="647"/>
      <c r="K263" s="647"/>
      <c r="L263" s="230"/>
      <c r="M263" s="230"/>
      <c r="N263" s="231"/>
    </row>
    <row r="264" spans="1:14">
      <c r="A264" s="493">
        <v>53000</v>
      </c>
      <c r="B264" s="514" t="s">
        <v>89</v>
      </c>
      <c r="C264" s="494">
        <v>12</v>
      </c>
      <c r="D264" s="494">
        <v>99</v>
      </c>
      <c r="E264" s="494">
        <v>99</v>
      </c>
      <c r="F264" s="233" t="s">
        <v>116</v>
      </c>
      <c r="G264" s="647">
        <v>13830</v>
      </c>
      <c r="H264" s="647">
        <v>60000</v>
      </c>
      <c r="I264" s="696">
        <f>'[2]To date'!$M$375</f>
        <v>1000</v>
      </c>
      <c r="J264" s="679">
        <v>20000</v>
      </c>
      <c r="K264" s="647">
        <f>J264-H264</f>
        <v>-40000</v>
      </c>
      <c r="L264" s="230"/>
      <c r="M264" s="230"/>
      <c r="N264" s="231"/>
    </row>
    <row r="265" spans="1:14" ht="12.95" thickBot="1">
      <c r="A265" s="493">
        <v>53000</v>
      </c>
      <c r="B265" s="547" t="s">
        <v>89</v>
      </c>
      <c r="C265" s="494">
        <v>12</v>
      </c>
      <c r="D265" s="494">
        <v>15</v>
      </c>
      <c r="E265" s="494">
        <v>53</v>
      </c>
      <c r="F265" s="233" t="s">
        <v>292</v>
      </c>
      <c r="G265" s="647">
        <v>121000</v>
      </c>
      <c r="H265" s="647">
        <v>50000</v>
      </c>
      <c r="I265" s="696">
        <f>'[2]To date'!$M$376+'SUMMARY SHEET AUGUST -DECEMBER'!H373</f>
        <v>9016</v>
      </c>
      <c r="J265" s="679">
        <v>30000</v>
      </c>
      <c r="K265" s="647">
        <f>J265-H265</f>
        <v>-20000</v>
      </c>
      <c r="L265" s="230"/>
      <c r="M265" s="230"/>
      <c r="N265" s="231"/>
    </row>
    <row r="266" spans="1:14" ht="26.45" thickBot="1">
      <c r="F266" s="234" t="s">
        <v>293</v>
      </c>
      <c r="G266" s="653">
        <f>G265+G264</f>
        <v>134830</v>
      </c>
      <c r="H266" s="653">
        <f>60000+H265</f>
        <v>110000</v>
      </c>
      <c r="I266" s="700">
        <f t="shared" ref="I266:N266" si="40">SUM(I264:I265)</f>
        <v>10016</v>
      </c>
      <c r="J266" s="653">
        <f t="shared" si="40"/>
        <v>50000</v>
      </c>
      <c r="K266" s="653">
        <f t="shared" si="40"/>
        <v>-60000</v>
      </c>
      <c r="L266" s="633">
        <f t="shared" si="40"/>
        <v>0</v>
      </c>
      <c r="M266" s="186">
        <f t="shared" si="40"/>
        <v>0</v>
      </c>
      <c r="N266" s="237">
        <f t="shared" si="40"/>
        <v>0</v>
      </c>
    </row>
    <row r="267" spans="1:14">
      <c r="F267" s="233"/>
      <c r="G267" s="651"/>
      <c r="H267" s="647"/>
      <c r="I267" s="696" t="s">
        <v>18</v>
      </c>
      <c r="J267" s="647"/>
      <c r="K267" s="647"/>
      <c r="L267" s="230"/>
      <c r="M267" s="230"/>
      <c r="N267" s="231"/>
    </row>
    <row r="268" spans="1:14">
      <c r="F268" s="233"/>
      <c r="G268" s="651"/>
      <c r="H268" s="647"/>
      <c r="I268" s="696" t="s">
        <v>18</v>
      </c>
      <c r="J268" s="647"/>
      <c r="K268" s="647"/>
      <c r="L268" s="230"/>
      <c r="M268" s="230"/>
      <c r="N268" s="231"/>
    </row>
    <row r="269" spans="1:14" ht="12.95">
      <c r="F269" s="229" t="s">
        <v>294</v>
      </c>
      <c r="G269" s="651"/>
      <c r="H269" s="647"/>
      <c r="I269" s="696" t="s">
        <v>18</v>
      </c>
      <c r="J269" s="647"/>
      <c r="K269" s="647"/>
      <c r="L269" s="230"/>
      <c r="M269" s="230"/>
      <c r="N269" s="231"/>
    </row>
    <row r="270" spans="1:14">
      <c r="A270" s="493">
        <v>50000</v>
      </c>
      <c r="B270" s="514" t="s">
        <v>89</v>
      </c>
      <c r="C270" s="494">
        <v>12</v>
      </c>
      <c r="D270" s="494">
        <v>15</v>
      </c>
      <c r="E270" s="514">
        <v>50</v>
      </c>
      <c r="F270" s="233" t="s">
        <v>295</v>
      </c>
      <c r="G270" s="647">
        <v>34643.5</v>
      </c>
      <c r="H270" s="647">
        <v>1839000</v>
      </c>
      <c r="I270" s="696">
        <f>'[2]To date'!$M$319+'SUMMARY SHEET AUGUST -DECEMBER'!H312</f>
        <v>996601.96</v>
      </c>
      <c r="J270" s="647">
        <v>2157000</v>
      </c>
      <c r="K270" s="647">
        <f>J270-H270</f>
        <v>318000</v>
      </c>
      <c r="L270" s="230"/>
      <c r="M270" s="230"/>
      <c r="N270" s="231"/>
    </row>
    <row r="271" spans="1:14" ht="24.95">
      <c r="A271" s="493">
        <v>50000</v>
      </c>
      <c r="B271" s="514" t="s">
        <v>89</v>
      </c>
      <c r="C271" s="494">
        <v>12</v>
      </c>
      <c r="D271" s="494">
        <v>15</v>
      </c>
      <c r="E271" s="514" t="s">
        <v>91</v>
      </c>
      <c r="F271" s="233" t="s">
        <v>296</v>
      </c>
      <c r="G271" s="647">
        <v>0</v>
      </c>
      <c r="H271" s="647">
        <v>4378500</v>
      </c>
      <c r="I271" s="696" t="s">
        <v>18</v>
      </c>
      <c r="J271" s="647">
        <v>3443000</v>
      </c>
      <c r="K271" s="647">
        <f>J271-H271</f>
        <v>-935500</v>
      </c>
      <c r="L271" s="230"/>
      <c r="M271" s="230"/>
      <c r="N271" s="231"/>
    </row>
    <row r="272" spans="1:14" ht="12.95" thickBot="1">
      <c r="B272" s="514"/>
      <c r="E272" s="514"/>
      <c r="F272" s="233" t="s">
        <v>116</v>
      </c>
      <c r="G272" s="647"/>
      <c r="H272" s="647"/>
      <c r="I272" s="696"/>
      <c r="J272" s="647"/>
      <c r="K272" s="647"/>
      <c r="L272" s="230"/>
      <c r="M272" s="230"/>
      <c r="N272" s="231"/>
    </row>
    <row r="273" spans="1:14" ht="26.45" thickBot="1">
      <c r="E273" s="514"/>
      <c r="F273" s="234" t="s">
        <v>297</v>
      </c>
      <c r="G273" s="653">
        <f>G270</f>
        <v>34643.5</v>
      </c>
      <c r="H273" s="653">
        <f>H271+H270</f>
        <v>6217500</v>
      </c>
      <c r="I273" s="700">
        <f>SUM(I270:I271)</f>
        <v>996601.96</v>
      </c>
      <c r="J273" s="653">
        <f>SUM(J270:J272)</f>
        <v>5600000</v>
      </c>
      <c r="K273" s="653">
        <f>SUM(K270:N272)</f>
        <v>-617500</v>
      </c>
      <c r="L273" s="633">
        <f>SUM(L270:L271)</f>
        <v>0</v>
      </c>
      <c r="M273" s="186">
        <f>SUM(M270:M271)</f>
        <v>0</v>
      </c>
      <c r="N273" s="237">
        <f>SUM(N270:N271)</f>
        <v>0</v>
      </c>
    </row>
    <row r="274" spans="1:14">
      <c r="F274" s="233"/>
      <c r="G274" s="651"/>
      <c r="H274" s="647"/>
      <c r="I274" s="696" t="s">
        <v>18</v>
      </c>
      <c r="J274" s="647"/>
      <c r="K274" s="647"/>
      <c r="L274" s="230"/>
      <c r="M274" s="230"/>
      <c r="N274" s="231"/>
    </row>
    <row r="275" spans="1:14" ht="26.1">
      <c r="F275" s="229" t="s">
        <v>298</v>
      </c>
      <c r="G275" s="651"/>
      <c r="H275" s="647"/>
      <c r="I275" s="696" t="s">
        <v>18</v>
      </c>
      <c r="J275" s="647"/>
      <c r="K275" s="647"/>
      <c r="L275" s="230"/>
      <c r="M275" s="230"/>
      <c r="N275" s="231"/>
    </row>
    <row r="276" spans="1:14">
      <c r="A276" s="493">
        <v>53000</v>
      </c>
      <c r="B276" s="514" t="s">
        <v>89</v>
      </c>
      <c r="C276" s="494">
        <v>12</v>
      </c>
      <c r="D276" s="514" t="s">
        <v>110</v>
      </c>
      <c r="E276" s="494">
        <v>35</v>
      </c>
      <c r="F276" s="233" t="s">
        <v>299</v>
      </c>
      <c r="G276" s="647">
        <v>729000</v>
      </c>
      <c r="H276" s="647">
        <v>3801000</v>
      </c>
      <c r="I276" s="696">
        <f>'[2]To date'!$M$324+'SUMMARY SHEET AUGUST -DECEMBER'!H317</f>
        <v>2475000</v>
      </c>
      <c r="J276" s="647">
        <v>3951000</v>
      </c>
      <c r="K276" s="647">
        <f>J276-H276</f>
        <v>150000</v>
      </c>
      <c r="L276" s="230"/>
      <c r="M276" s="230"/>
      <c r="N276" s="231"/>
    </row>
    <row r="277" spans="1:14">
      <c r="A277" s="493">
        <v>53000</v>
      </c>
      <c r="B277" s="514" t="s">
        <v>89</v>
      </c>
      <c r="C277" s="494">
        <v>12</v>
      </c>
      <c r="D277" s="514" t="s">
        <v>110</v>
      </c>
      <c r="E277" s="494">
        <v>36</v>
      </c>
      <c r="F277" s="233" t="s">
        <v>300</v>
      </c>
      <c r="G277" s="647">
        <v>0</v>
      </c>
      <c r="H277" s="647">
        <v>40000</v>
      </c>
      <c r="I277" s="696">
        <v>0</v>
      </c>
      <c r="J277" s="647">
        <v>20000</v>
      </c>
      <c r="K277" s="647">
        <f>J277-H277</f>
        <v>-20000</v>
      </c>
      <c r="L277" s="230"/>
      <c r="M277" s="230"/>
      <c r="N277" s="231"/>
    </row>
    <row r="278" spans="1:14">
      <c r="A278" s="493">
        <v>53000</v>
      </c>
      <c r="B278" s="514" t="s">
        <v>89</v>
      </c>
      <c r="C278" s="494">
        <v>12</v>
      </c>
      <c r="D278" s="514" t="s">
        <v>110</v>
      </c>
      <c r="E278" s="494">
        <v>37</v>
      </c>
      <c r="F278" s="233" t="s">
        <v>301</v>
      </c>
      <c r="G278" s="647">
        <v>0</v>
      </c>
      <c r="H278" s="647">
        <v>60000</v>
      </c>
      <c r="I278" s="696">
        <v>0</v>
      </c>
      <c r="J278" s="647">
        <v>30000</v>
      </c>
      <c r="K278" s="647">
        <f>J278-H278</f>
        <v>-30000</v>
      </c>
      <c r="L278" s="230"/>
      <c r="M278" s="230"/>
      <c r="N278" s="231"/>
    </row>
    <row r="279" spans="1:14">
      <c r="A279" s="493">
        <v>53000</v>
      </c>
      <c r="B279" s="514" t="s">
        <v>89</v>
      </c>
      <c r="C279" s="494">
        <v>12</v>
      </c>
      <c r="D279" s="514" t="s">
        <v>110</v>
      </c>
      <c r="E279" s="494">
        <v>38</v>
      </c>
      <c r="F279" s="233" t="s">
        <v>302</v>
      </c>
      <c r="G279" s="647">
        <v>40000</v>
      </c>
      <c r="H279" s="647">
        <v>19000</v>
      </c>
      <c r="I279" s="696">
        <f>'SUMMARY SHEET AUGUST -DECEMBER'!H320</f>
        <v>5000</v>
      </c>
      <c r="J279" s="647">
        <v>13000</v>
      </c>
      <c r="K279" s="647">
        <f>J279-H279</f>
        <v>-6000</v>
      </c>
      <c r="L279" s="230"/>
      <c r="M279" s="230"/>
      <c r="N279" s="231"/>
    </row>
    <row r="280" spans="1:14" ht="12.95" thickBot="1">
      <c r="A280" s="493">
        <v>53000</v>
      </c>
      <c r="B280" s="514" t="s">
        <v>89</v>
      </c>
      <c r="C280" s="494">
        <v>12</v>
      </c>
      <c r="D280" s="514">
        <v>30</v>
      </c>
      <c r="E280" s="494">
        <v>99</v>
      </c>
      <c r="F280" s="232" t="s">
        <v>303</v>
      </c>
      <c r="G280" s="647">
        <v>13900</v>
      </c>
      <c r="H280" s="647">
        <v>25000</v>
      </c>
      <c r="I280" s="696">
        <f>'[2]To date'!$M$328+'SUMMARY SHEET AUGUST -DECEMBER'!H321</f>
        <v>800</v>
      </c>
      <c r="J280" s="647">
        <v>10000</v>
      </c>
      <c r="K280" s="647">
        <f>J280-H280</f>
        <v>-15000</v>
      </c>
      <c r="L280" s="230"/>
      <c r="M280" s="230"/>
      <c r="N280" s="231"/>
    </row>
    <row r="281" spans="1:14" ht="26.45" thickBot="1">
      <c r="F281" s="234" t="s">
        <v>304</v>
      </c>
      <c r="G281" s="653">
        <f>G280+G279+G278+G277+G276</f>
        <v>782900</v>
      </c>
      <c r="H281" s="653">
        <f>SUM(H276:H280)</f>
        <v>3945000</v>
      </c>
      <c r="I281" s="700">
        <f>SUM(I276:I280)</f>
        <v>2480800</v>
      </c>
      <c r="J281" s="653">
        <f>SUM(J276:J280)</f>
        <v>4024000</v>
      </c>
      <c r="K281" s="653">
        <f t="shared" ref="K281:N281" si="41">SUM(K276:K280)</f>
        <v>79000</v>
      </c>
      <c r="L281" s="633">
        <f t="shared" si="41"/>
        <v>0</v>
      </c>
      <c r="M281" s="186">
        <f t="shared" si="41"/>
        <v>0</v>
      </c>
      <c r="N281" s="237">
        <f t="shared" si="41"/>
        <v>0</v>
      </c>
    </row>
    <row r="282" spans="1:14">
      <c r="F282" s="232"/>
      <c r="G282" s="651"/>
      <c r="H282" s="647" t="s">
        <v>18</v>
      </c>
      <c r="I282" s="696" t="s">
        <v>18</v>
      </c>
      <c r="J282" s="647"/>
      <c r="K282" s="647"/>
      <c r="L282" s="230"/>
      <c r="M282" s="230"/>
      <c r="N282" s="231"/>
    </row>
    <row r="283" spans="1:14" ht="12.95">
      <c r="F283" s="229" t="s">
        <v>305</v>
      </c>
      <c r="G283" s="651"/>
      <c r="H283" s="647"/>
      <c r="I283" s="696" t="s">
        <v>18</v>
      </c>
      <c r="J283" s="647"/>
      <c r="K283" s="647"/>
      <c r="L283" s="230"/>
      <c r="M283" s="230"/>
      <c r="N283" s="231"/>
    </row>
    <row r="284" spans="1:14">
      <c r="A284" s="493">
        <v>53000</v>
      </c>
      <c r="B284" s="494">
        <v>794</v>
      </c>
      <c r="C284" s="494">
        <v>12</v>
      </c>
      <c r="D284" s="494">
        <v>16</v>
      </c>
      <c r="E284" s="494">
        <v>15</v>
      </c>
      <c r="F284" s="232" t="s">
        <v>306</v>
      </c>
      <c r="G284" s="647">
        <v>910075</v>
      </c>
      <c r="H284" s="647">
        <v>323848704</v>
      </c>
      <c r="I284" s="696">
        <f>'[2]To date'!$M$332+'SUMMARY SHEET AUGUST -DECEMBER'!H325</f>
        <v>1942079</v>
      </c>
      <c r="J284" s="647">
        <v>0</v>
      </c>
      <c r="K284" s="647">
        <f>J284-H284</f>
        <v>-323848704</v>
      </c>
      <c r="L284" s="230"/>
      <c r="M284" s="230"/>
      <c r="N284" s="231"/>
    </row>
    <row r="285" spans="1:14">
      <c r="A285" s="493">
        <v>53000</v>
      </c>
      <c r="B285" s="494">
        <v>794</v>
      </c>
      <c r="C285" s="494">
        <v>12</v>
      </c>
      <c r="D285" s="514" t="s">
        <v>110</v>
      </c>
      <c r="E285" s="494">
        <v>26</v>
      </c>
      <c r="F285" s="232" t="s">
        <v>307</v>
      </c>
      <c r="G285" s="647"/>
      <c r="H285" s="647">
        <v>6185000</v>
      </c>
      <c r="I285" s="696">
        <f>'[2]To date'!$M$333+'SUMMARY SHEET AUGUST -DECEMBER'!H326</f>
        <v>19585827</v>
      </c>
      <c r="J285" s="647">
        <v>5449000</v>
      </c>
      <c r="K285" s="647">
        <f>J285-H285</f>
        <v>-736000</v>
      </c>
      <c r="L285" s="230">
        <f>SUM(J285:J285)</f>
        <v>5449000</v>
      </c>
      <c r="M285" s="230" t="e">
        <f>#REF!-#REF!</f>
        <v>#REF!</v>
      </c>
      <c r="N285" s="231"/>
    </row>
    <row r="286" spans="1:14">
      <c r="A286" s="493">
        <v>53000</v>
      </c>
      <c r="B286" s="494">
        <v>794</v>
      </c>
      <c r="C286" s="494">
        <v>12</v>
      </c>
      <c r="D286" s="514">
        <v>16</v>
      </c>
      <c r="E286" s="494">
        <v>22</v>
      </c>
      <c r="F286" s="232" t="s">
        <v>308</v>
      </c>
      <c r="G286" s="647">
        <v>35100</v>
      </c>
      <c r="H286" s="647">
        <v>2266210</v>
      </c>
      <c r="I286" s="696">
        <f>'[2]To date'!$M$334+'SUMMARY SHEET AUGUST -DECEMBER'!H327</f>
        <v>1050770.0900000001</v>
      </c>
      <c r="J286" s="647">
        <v>2282123</v>
      </c>
      <c r="K286" s="647">
        <f t="shared" ref="K286:K290" si="42">J286-H286</f>
        <v>15913</v>
      </c>
      <c r="L286" s="230"/>
      <c r="M286" s="230"/>
      <c r="N286" s="231"/>
    </row>
    <row r="287" spans="1:14">
      <c r="A287" s="493">
        <v>53000</v>
      </c>
      <c r="B287" s="494">
        <v>794</v>
      </c>
      <c r="C287" s="494">
        <v>12</v>
      </c>
      <c r="D287" s="514" t="s">
        <v>110</v>
      </c>
      <c r="E287" s="494">
        <v>26</v>
      </c>
      <c r="F287" s="232" t="s">
        <v>309</v>
      </c>
      <c r="G287" s="647">
        <v>0</v>
      </c>
      <c r="H287" s="647">
        <v>66240000</v>
      </c>
      <c r="I287" s="696">
        <f>'[2]To date'!$M$335+'SUMMARY SHEET AUGUST -DECEMBER'!H328</f>
        <v>900000</v>
      </c>
      <c r="J287" s="647">
        <v>66861000</v>
      </c>
      <c r="K287" s="647">
        <f t="shared" si="42"/>
        <v>621000</v>
      </c>
      <c r="L287" s="230">
        <f>SUM(J287:J287)</f>
        <v>66861000</v>
      </c>
      <c r="M287" s="230" t="e">
        <f>#REF!-#REF!</f>
        <v>#REF!</v>
      </c>
      <c r="N287" s="231"/>
    </row>
    <row r="288" spans="1:14">
      <c r="A288" s="493">
        <v>53000</v>
      </c>
      <c r="B288" s="494">
        <v>794</v>
      </c>
      <c r="C288" s="494">
        <v>12</v>
      </c>
      <c r="D288" s="494">
        <v>16</v>
      </c>
      <c r="E288" s="494">
        <v>23</v>
      </c>
      <c r="F288" s="232" t="s">
        <v>310</v>
      </c>
      <c r="G288" s="647">
        <v>10000</v>
      </c>
      <c r="H288" s="647">
        <v>2898000</v>
      </c>
      <c r="I288" s="696">
        <f>'[2]To date'!$M$336+'SUMMARY SHEET AUGUST -DECEMBER'!H329</f>
        <v>1535000</v>
      </c>
      <c r="J288" s="647">
        <v>2898000</v>
      </c>
      <c r="K288" s="647">
        <f t="shared" si="42"/>
        <v>0</v>
      </c>
      <c r="L288" s="230"/>
      <c r="M288" s="230"/>
      <c r="N288" s="231"/>
    </row>
    <row r="289" spans="1:14">
      <c r="A289" s="493">
        <v>53000</v>
      </c>
      <c r="B289" s="494">
        <v>794</v>
      </c>
      <c r="C289" s="494">
        <v>12</v>
      </c>
      <c r="D289" s="494">
        <v>16</v>
      </c>
      <c r="E289" s="494">
        <v>14</v>
      </c>
      <c r="F289" s="232" t="s">
        <v>311</v>
      </c>
      <c r="G289" s="662">
        <v>87000</v>
      </c>
      <c r="H289" s="662">
        <v>910800</v>
      </c>
      <c r="I289" s="696">
        <f>'[2]To date'!$M$337+'SUMMARY SHEET AUGUST -DECEMBER'!H330</f>
        <v>187000</v>
      </c>
      <c r="J289" s="647">
        <v>910800</v>
      </c>
      <c r="K289" s="647">
        <f t="shared" si="42"/>
        <v>0</v>
      </c>
      <c r="L289" s="230">
        <f>SUM(L285:L288)</f>
        <v>72310000</v>
      </c>
      <c r="M289" s="537" t="e">
        <f>SUM(M284:M287)</f>
        <v>#REF!</v>
      </c>
      <c r="N289" s="231"/>
    </row>
    <row r="290" spans="1:14" ht="12.95" thickBot="1">
      <c r="A290" s="493">
        <v>53000</v>
      </c>
      <c r="B290" s="494">
        <v>794</v>
      </c>
      <c r="C290" s="494">
        <v>12</v>
      </c>
      <c r="D290" s="494">
        <v>99</v>
      </c>
      <c r="E290" s="494">
        <v>99</v>
      </c>
      <c r="F290" s="232" t="s">
        <v>303</v>
      </c>
      <c r="G290" s="647">
        <v>2518248</v>
      </c>
      <c r="H290" s="647">
        <v>40705020</v>
      </c>
      <c r="I290" s="696">
        <f>'[2]To date'!$M$338+'SUMMARY SHEET AUGUST -DECEMBER'!H331</f>
        <v>9975234.0300000012</v>
      </c>
      <c r="J290" s="647">
        <v>44363626</v>
      </c>
      <c r="K290" s="647">
        <f t="shared" si="42"/>
        <v>3658606</v>
      </c>
      <c r="L290" s="230"/>
      <c r="M290" s="230"/>
      <c r="N290" s="231">
        <v>45283414</v>
      </c>
    </row>
    <row r="291" spans="1:14" ht="13.5" thickBot="1">
      <c r="F291" s="234" t="s">
        <v>312</v>
      </c>
      <c r="G291" s="653">
        <f>G290+G289+G288+G286+G284</f>
        <v>3560423</v>
      </c>
      <c r="H291" s="653">
        <f>H284+H285+H286+H287+H288+H289+H290</f>
        <v>443053734</v>
      </c>
      <c r="I291" s="700">
        <f>SUM(I284:I290)</f>
        <v>35175910.120000005</v>
      </c>
      <c r="J291" s="653">
        <f>SUM(J284:J290)</f>
        <v>122764549</v>
      </c>
      <c r="K291" s="653">
        <f t="shared" ref="K291:N291" si="43">SUM(K284:K290)</f>
        <v>-320289185</v>
      </c>
      <c r="L291" s="633">
        <f t="shared" si="43"/>
        <v>144620000</v>
      </c>
      <c r="M291" s="186" t="e">
        <f t="shared" si="43"/>
        <v>#REF!</v>
      </c>
      <c r="N291" s="237">
        <f t="shared" si="43"/>
        <v>45283414</v>
      </c>
    </row>
    <row r="292" spans="1:14">
      <c r="F292" s="233"/>
      <c r="G292" s="651"/>
      <c r="H292" s="647"/>
      <c r="I292" s="696" t="s">
        <v>18</v>
      </c>
      <c r="J292" s="647"/>
      <c r="K292" s="647"/>
      <c r="L292" s="230"/>
      <c r="M292" s="230"/>
      <c r="N292" s="231"/>
    </row>
    <row r="293" spans="1:14" s="722" customFormat="1" ht="26.1">
      <c r="A293" s="716"/>
      <c r="B293" s="506"/>
      <c r="C293" s="506"/>
      <c r="D293" s="506"/>
      <c r="E293" s="506"/>
      <c r="F293" s="734" t="s">
        <v>313</v>
      </c>
      <c r="G293" s="717"/>
      <c r="H293" s="718"/>
      <c r="I293" s="719" t="s">
        <v>18</v>
      </c>
      <c r="J293" s="718"/>
      <c r="K293" s="718"/>
      <c r="L293" s="720"/>
      <c r="M293" s="720"/>
      <c r="N293" s="721"/>
    </row>
    <row r="294" spans="1:14">
      <c r="A294" s="493">
        <v>53000</v>
      </c>
      <c r="B294" s="494">
        <v>155</v>
      </c>
      <c r="C294" s="494">
        <v>12</v>
      </c>
      <c r="D294" s="494">
        <v>17</v>
      </c>
      <c r="E294" s="532">
        <v>17</v>
      </c>
      <c r="F294" s="232" t="s">
        <v>314</v>
      </c>
      <c r="G294" s="647">
        <v>0</v>
      </c>
      <c r="H294" s="647">
        <v>12000</v>
      </c>
      <c r="I294" s="696"/>
      <c r="J294" s="647">
        <v>20000</v>
      </c>
      <c r="K294" s="647">
        <f t="shared" ref="K294:K301" si="44">J294-H294</f>
        <v>8000</v>
      </c>
      <c r="L294" s="230">
        <f>SUM(J294:J294)</f>
        <v>20000</v>
      </c>
      <c r="M294" s="230" t="e">
        <f>#REF!-#REF!</f>
        <v>#REF!</v>
      </c>
      <c r="N294" s="231"/>
    </row>
    <row r="295" spans="1:14" ht="24.95">
      <c r="A295" s="493">
        <v>53000</v>
      </c>
      <c r="B295" s="494">
        <v>155</v>
      </c>
      <c r="C295" s="494">
        <v>12</v>
      </c>
      <c r="D295" s="514" t="s">
        <v>110</v>
      </c>
      <c r="E295" s="514" t="s">
        <v>100</v>
      </c>
      <c r="F295" s="233" t="s">
        <v>315</v>
      </c>
      <c r="G295" s="647">
        <v>0</v>
      </c>
      <c r="H295" s="647">
        <v>48000</v>
      </c>
      <c r="I295" s="696"/>
      <c r="J295" s="647">
        <v>48000</v>
      </c>
      <c r="K295" s="647">
        <f t="shared" si="44"/>
        <v>0</v>
      </c>
      <c r="L295" s="230">
        <f>SUM(J295:J295)</f>
        <v>48000</v>
      </c>
      <c r="M295" s="230" t="e">
        <f>#REF!-#REF!</f>
        <v>#REF!</v>
      </c>
      <c r="N295" s="231"/>
    </row>
    <row r="296" spans="1:14">
      <c r="A296" s="493">
        <v>53000</v>
      </c>
      <c r="B296" s="494">
        <v>155</v>
      </c>
      <c r="C296" s="494">
        <v>12</v>
      </c>
      <c r="D296" s="514" t="s">
        <v>110</v>
      </c>
      <c r="E296" s="514" t="s">
        <v>102</v>
      </c>
      <c r="F296" s="232" t="s">
        <v>316</v>
      </c>
      <c r="G296" s="647"/>
      <c r="H296" s="647">
        <v>8000</v>
      </c>
      <c r="I296" s="696"/>
      <c r="J296" s="647"/>
      <c r="K296" s="647">
        <f t="shared" si="44"/>
        <v>-8000</v>
      </c>
      <c r="L296" s="230">
        <f>SUM(J296:J296)</f>
        <v>0</v>
      </c>
      <c r="M296" s="230" t="e">
        <f>#REF!-#REF!</f>
        <v>#REF!</v>
      </c>
      <c r="N296" s="231"/>
    </row>
    <row r="297" spans="1:14">
      <c r="A297" s="493">
        <v>53000</v>
      </c>
      <c r="B297" s="494">
        <v>155</v>
      </c>
      <c r="C297" s="494">
        <v>12</v>
      </c>
      <c r="D297" s="494">
        <v>16</v>
      </c>
      <c r="E297" s="532">
        <v>25</v>
      </c>
      <c r="F297" s="232" t="s">
        <v>317</v>
      </c>
      <c r="G297" s="647">
        <v>0</v>
      </c>
      <c r="H297" s="647">
        <v>90000</v>
      </c>
      <c r="I297" s="696"/>
      <c r="J297" s="647">
        <v>8000</v>
      </c>
      <c r="K297" s="647">
        <f t="shared" si="44"/>
        <v>-82000</v>
      </c>
      <c r="L297" s="230">
        <f>SUM(J297:J297)</f>
        <v>8000</v>
      </c>
      <c r="M297" s="230" t="e">
        <f>#REF!-#REF!</f>
        <v>#REF!</v>
      </c>
      <c r="N297" s="231"/>
    </row>
    <row r="298" spans="1:14">
      <c r="A298" s="493">
        <v>53000</v>
      </c>
      <c r="B298" s="494">
        <v>155</v>
      </c>
      <c r="C298" s="494">
        <v>12</v>
      </c>
      <c r="D298" s="494">
        <v>14</v>
      </c>
      <c r="E298" s="514" t="s">
        <v>111</v>
      </c>
      <c r="F298" s="232" t="s">
        <v>318</v>
      </c>
      <c r="G298" s="647">
        <v>0</v>
      </c>
      <c r="H298" s="647"/>
      <c r="I298" s="696"/>
      <c r="J298" s="647">
        <v>90000</v>
      </c>
      <c r="K298" s="647">
        <f t="shared" si="44"/>
        <v>90000</v>
      </c>
      <c r="L298" s="230">
        <f>SUM(J298:J298)</f>
        <v>90000</v>
      </c>
      <c r="M298" s="230" t="e">
        <f>#REF!-#REF!</f>
        <v>#REF!</v>
      </c>
      <c r="N298" s="231"/>
    </row>
    <row r="299" spans="1:14" ht="24.95">
      <c r="A299" s="493">
        <v>53000</v>
      </c>
      <c r="B299" s="494">
        <v>155</v>
      </c>
      <c r="C299" s="494">
        <v>12</v>
      </c>
      <c r="D299" s="514" t="s">
        <v>110</v>
      </c>
      <c r="E299" s="514">
        <v>27</v>
      </c>
      <c r="F299" s="232" t="s">
        <v>319</v>
      </c>
      <c r="G299" s="647"/>
      <c r="H299" s="647"/>
      <c r="I299" s="696"/>
      <c r="J299" s="647"/>
      <c r="K299" s="647">
        <f t="shared" si="44"/>
        <v>0</v>
      </c>
      <c r="L299" s="230"/>
      <c r="M299" s="230"/>
      <c r="N299" s="231"/>
    </row>
    <row r="300" spans="1:14">
      <c r="A300" s="493">
        <v>53000</v>
      </c>
      <c r="B300" s="494">
        <v>155</v>
      </c>
      <c r="C300" s="494">
        <v>12</v>
      </c>
      <c r="D300" s="514" t="s">
        <v>110</v>
      </c>
      <c r="E300" s="494">
        <v>28</v>
      </c>
      <c r="F300" s="232" t="s">
        <v>320</v>
      </c>
      <c r="G300" s="647">
        <v>15000</v>
      </c>
      <c r="H300" s="647">
        <v>600000</v>
      </c>
      <c r="I300" s="647"/>
      <c r="J300" s="647">
        <v>500000</v>
      </c>
      <c r="K300" s="647">
        <f t="shared" si="44"/>
        <v>-100000</v>
      </c>
      <c r="L300" s="230">
        <f>SUM(J300:J300)</f>
        <v>500000</v>
      </c>
      <c r="M300" s="230" t="e">
        <f>#REF!-#REF!</f>
        <v>#REF!</v>
      </c>
      <c r="N300" s="231"/>
    </row>
    <row r="301" spans="1:14" ht="12.95" thickBot="1">
      <c r="A301" s="493">
        <v>53000</v>
      </c>
      <c r="B301" s="494">
        <v>155</v>
      </c>
      <c r="C301" s="494">
        <v>12</v>
      </c>
      <c r="D301" s="494">
        <v>99</v>
      </c>
      <c r="E301" s="494">
        <v>99</v>
      </c>
      <c r="F301" s="232" t="s">
        <v>303</v>
      </c>
      <c r="G301" s="647">
        <v>0</v>
      </c>
      <c r="H301" s="647">
        <v>130000</v>
      </c>
      <c r="I301" s="647">
        <f>'[2]To date'!$I$349</f>
        <v>29000</v>
      </c>
      <c r="J301" s="647">
        <v>100000</v>
      </c>
      <c r="K301" s="647">
        <f t="shared" si="44"/>
        <v>-30000</v>
      </c>
      <c r="L301" s="230">
        <f>SUM(J301:J301)</f>
        <v>100000</v>
      </c>
      <c r="M301" s="230" t="e">
        <f>#REF!-#REF!</f>
        <v>#REF!</v>
      </c>
      <c r="N301" s="231"/>
    </row>
    <row r="302" spans="1:14" ht="26.45" thickBot="1">
      <c r="F302" s="234" t="s">
        <v>321</v>
      </c>
      <c r="G302" s="653">
        <f>G300</f>
        <v>15000</v>
      </c>
      <c r="H302" s="653">
        <f>H301+H300+H299+H298+H297+H296+H295+H294</f>
        <v>888000</v>
      </c>
      <c r="I302" s="700">
        <f t="shared" ref="I302:N302" si="45">SUM(I294:I301)</f>
        <v>29000</v>
      </c>
      <c r="J302" s="653">
        <f t="shared" si="45"/>
        <v>766000</v>
      </c>
      <c r="K302" s="653">
        <f t="shared" si="45"/>
        <v>-122000</v>
      </c>
      <c r="L302" s="633">
        <f t="shared" si="45"/>
        <v>766000</v>
      </c>
      <c r="M302" s="186" t="e">
        <f t="shared" si="45"/>
        <v>#REF!</v>
      </c>
      <c r="N302" s="237">
        <f t="shared" si="45"/>
        <v>0</v>
      </c>
    </row>
    <row r="303" spans="1:14">
      <c r="F303" s="233"/>
      <c r="G303" s="651"/>
      <c r="H303" s="647"/>
      <c r="I303" s="696" t="s">
        <v>18</v>
      </c>
      <c r="J303" s="647"/>
      <c r="K303" s="647"/>
      <c r="L303" s="230"/>
      <c r="M303" s="230"/>
      <c r="N303" s="231"/>
    </row>
    <row r="304" spans="1:14">
      <c r="F304" s="233"/>
      <c r="G304" s="651" t="s">
        <v>18</v>
      </c>
      <c r="H304" s="647"/>
      <c r="I304" s="696" t="s">
        <v>18</v>
      </c>
      <c r="J304" s="647"/>
      <c r="K304" s="647"/>
      <c r="L304" s="230"/>
      <c r="M304" s="230"/>
      <c r="N304" s="231"/>
    </row>
    <row r="305" spans="1:14" ht="26.1">
      <c r="F305" s="229" t="s">
        <v>322</v>
      </c>
      <c r="G305" s="651" t="s">
        <v>18</v>
      </c>
      <c r="H305" s="647"/>
      <c r="I305" s="696" t="s">
        <v>18</v>
      </c>
      <c r="J305" s="647"/>
      <c r="K305" s="647"/>
      <c r="L305" s="230"/>
      <c r="M305" s="230"/>
      <c r="N305" s="231"/>
    </row>
    <row r="306" spans="1:14">
      <c r="A306" s="493">
        <v>53000</v>
      </c>
      <c r="B306" s="494">
        <v>359</v>
      </c>
      <c r="C306" s="494">
        <v>12</v>
      </c>
      <c r="D306" s="514" t="s">
        <v>110</v>
      </c>
      <c r="E306" s="514" t="s">
        <v>104</v>
      </c>
      <c r="F306" s="232" t="s">
        <v>323</v>
      </c>
      <c r="G306" s="647">
        <v>55226100</v>
      </c>
      <c r="H306" s="647">
        <v>109231300</v>
      </c>
      <c r="I306" s="696">
        <f>'[2]To date'!$M$359+'SUMMARY SHEET AUGUST -DECEMBER'!H352</f>
        <v>24894400</v>
      </c>
      <c r="J306" s="647">
        <v>97225300</v>
      </c>
      <c r="K306" s="647">
        <f t="shared" ref="K306:K315" si="46">J306-H306</f>
        <v>-12006000</v>
      </c>
      <c r="L306" s="230">
        <f>SUM(L294:L305)</f>
        <v>1532000</v>
      </c>
      <c r="M306" s="230" t="e">
        <f>SUM(M294:M301)</f>
        <v>#REF!</v>
      </c>
      <c r="N306" s="231"/>
    </row>
    <row r="307" spans="1:14">
      <c r="A307" s="493">
        <v>53000</v>
      </c>
      <c r="B307" s="494">
        <v>359</v>
      </c>
      <c r="C307" s="494">
        <v>12</v>
      </c>
      <c r="D307" s="494">
        <v>16</v>
      </c>
      <c r="E307" s="514" t="s">
        <v>202</v>
      </c>
      <c r="F307" s="232" t="s">
        <v>324</v>
      </c>
      <c r="G307" s="647"/>
      <c r="H307" s="647">
        <v>900000</v>
      </c>
      <c r="I307" s="696">
        <f>'[2]To date'!$M$360+'SUMMARY SHEET AUGUST -DECEMBER'!H353</f>
        <v>141437</v>
      </c>
      <c r="J307" s="647">
        <v>600000</v>
      </c>
      <c r="K307" s="647">
        <f t="shared" si="46"/>
        <v>-300000</v>
      </c>
      <c r="L307" s="230"/>
      <c r="M307" s="230"/>
      <c r="N307" s="231"/>
    </row>
    <row r="308" spans="1:14">
      <c r="E308" s="514"/>
      <c r="F308" s="232" t="s">
        <v>325</v>
      </c>
      <c r="G308" s="647">
        <v>1005790</v>
      </c>
      <c r="H308" s="647">
        <v>50000</v>
      </c>
      <c r="I308" s="696"/>
      <c r="J308" s="647">
        <v>50000</v>
      </c>
      <c r="K308" s="647"/>
      <c r="L308" s="230"/>
      <c r="M308" s="230"/>
      <c r="N308" s="231"/>
    </row>
    <row r="309" spans="1:14">
      <c r="A309" s="493">
        <v>53000</v>
      </c>
      <c r="B309" s="494">
        <v>359</v>
      </c>
      <c r="C309" s="494">
        <v>12</v>
      </c>
      <c r="D309" s="494">
        <v>16</v>
      </c>
      <c r="E309" s="514" t="s">
        <v>104</v>
      </c>
      <c r="F309" s="232" t="s">
        <v>326</v>
      </c>
      <c r="G309" s="647">
        <v>0</v>
      </c>
      <c r="H309" s="647">
        <v>725000</v>
      </c>
      <c r="I309" s="696">
        <f>'[2]To date'!$M$362+'SUMMARY SHEET AUGUST -DECEMBER'!H355</f>
        <v>160500</v>
      </c>
      <c r="J309" s="647">
        <v>435000</v>
      </c>
      <c r="K309" s="647">
        <f t="shared" si="46"/>
        <v>-290000</v>
      </c>
      <c r="L309" s="230"/>
      <c r="M309" s="230"/>
      <c r="N309" s="231"/>
    </row>
    <row r="310" spans="1:14">
      <c r="A310" s="493">
        <v>53000</v>
      </c>
      <c r="B310" s="494">
        <v>359</v>
      </c>
      <c r="C310" s="494">
        <v>12</v>
      </c>
      <c r="D310" s="514" t="s">
        <v>110</v>
      </c>
      <c r="E310" s="514">
        <v>32</v>
      </c>
      <c r="F310" s="232" t="s">
        <v>327</v>
      </c>
      <c r="G310" s="647">
        <v>130503</v>
      </c>
      <c r="H310" s="647">
        <v>840000</v>
      </c>
      <c r="I310" s="696">
        <f>'[2]To date'!$M$363+'SUMMARY SHEET AUGUST -DECEMBER'!H356</f>
        <v>4754800</v>
      </c>
      <c r="J310" s="647">
        <v>756000</v>
      </c>
      <c r="K310" s="647">
        <f t="shared" si="46"/>
        <v>-84000</v>
      </c>
      <c r="L310" s="230"/>
      <c r="M310" s="230"/>
      <c r="N310" s="231"/>
    </row>
    <row r="311" spans="1:14">
      <c r="A311" s="493">
        <v>53000</v>
      </c>
      <c r="B311" s="494">
        <v>359</v>
      </c>
      <c r="C311" s="494">
        <v>12</v>
      </c>
      <c r="D311" s="514" t="s">
        <v>110</v>
      </c>
      <c r="E311" s="514">
        <v>39</v>
      </c>
      <c r="F311" s="232" t="s">
        <v>328</v>
      </c>
      <c r="G311" s="647">
        <v>7633750</v>
      </c>
      <c r="H311" s="647"/>
      <c r="I311" s="696">
        <f>'[2]To date'!$M$364+'SUMMARY SHEET AUGUST -DECEMBER'!H357</f>
        <v>30800</v>
      </c>
      <c r="J311" s="647"/>
      <c r="K311" s="647">
        <f t="shared" si="46"/>
        <v>0</v>
      </c>
      <c r="L311" s="230"/>
      <c r="M311" s="230"/>
      <c r="N311" s="231"/>
    </row>
    <row r="312" spans="1:14">
      <c r="A312" s="493">
        <v>53000</v>
      </c>
      <c r="B312" s="494">
        <v>359</v>
      </c>
      <c r="C312" s="494">
        <v>12</v>
      </c>
      <c r="D312" s="514" t="s">
        <v>110</v>
      </c>
      <c r="E312" s="514">
        <v>40</v>
      </c>
      <c r="F312" s="232" t="s">
        <v>329</v>
      </c>
      <c r="G312" s="647">
        <v>311400</v>
      </c>
      <c r="H312" s="647">
        <v>9555000</v>
      </c>
      <c r="I312" s="696">
        <f>'[2]To date'!$M$365+'SUMMARY SHEET AUGUST -DECEMBER'!H358</f>
        <v>1953600</v>
      </c>
      <c r="J312" s="647">
        <v>8192000</v>
      </c>
      <c r="K312" s="647">
        <f t="shared" si="46"/>
        <v>-1363000</v>
      </c>
      <c r="L312" s="230"/>
      <c r="M312" s="230"/>
      <c r="N312" s="231"/>
    </row>
    <row r="313" spans="1:14">
      <c r="A313" s="493">
        <v>53000</v>
      </c>
      <c r="B313" s="494">
        <v>359</v>
      </c>
      <c r="C313" s="494">
        <v>12</v>
      </c>
      <c r="D313" s="514" t="s">
        <v>110</v>
      </c>
      <c r="E313" s="514">
        <v>41</v>
      </c>
      <c r="F313" s="232" t="s">
        <v>330</v>
      </c>
      <c r="G313" s="647">
        <v>3273600</v>
      </c>
      <c r="H313" s="647">
        <v>30000</v>
      </c>
      <c r="I313" s="696"/>
      <c r="J313" s="647">
        <v>30000</v>
      </c>
      <c r="K313" s="647">
        <f t="shared" si="46"/>
        <v>0</v>
      </c>
      <c r="L313" s="230"/>
      <c r="M313" s="230"/>
      <c r="N313" s="231"/>
    </row>
    <row r="314" spans="1:14">
      <c r="A314" s="493">
        <v>53000</v>
      </c>
      <c r="B314" s="494">
        <v>359</v>
      </c>
      <c r="C314" s="494">
        <v>12</v>
      </c>
      <c r="D314" s="514" t="s">
        <v>110</v>
      </c>
      <c r="E314" s="514">
        <v>42</v>
      </c>
      <c r="F314" s="232" t="s">
        <v>331</v>
      </c>
      <c r="G314" s="713">
        <v>272100</v>
      </c>
      <c r="H314" s="647">
        <v>360000</v>
      </c>
      <c r="I314" s="696">
        <f>'[2]To date'!$M$367</f>
        <v>198200</v>
      </c>
      <c r="J314" s="647">
        <v>360000</v>
      </c>
      <c r="K314" s="647">
        <f t="shared" si="46"/>
        <v>0</v>
      </c>
      <c r="L314" s="230"/>
      <c r="M314" s="230"/>
      <c r="N314" s="231"/>
    </row>
    <row r="315" spans="1:14">
      <c r="A315" s="493">
        <v>53000</v>
      </c>
      <c r="B315" s="494">
        <v>359</v>
      </c>
      <c r="C315" s="494">
        <v>12</v>
      </c>
      <c r="D315" s="514" t="s">
        <v>110</v>
      </c>
      <c r="E315" s="514">
        <v>43</v>
      </c>
      <c r="F315" s="232" t="s">
        <v>332</v>
      </c>
      <c r="G315" s="647"/>
      <c r="H315" s="647">
        <v>125000</v>
      </c>
      <c r="I315" s="696"/>
      <c r="J315" s="680"/>
      <c r="K315" s="647">
        <f t="shared" si="46"/>
        <v>-125000</v>
      </c>
      <c r="L315" s="230"/>
      <c r="M315" s="230"/>
      <c r="N315" s="231"/>
    </row>
    <row r="316" spans="1:14">
      <c r="A316" s="493">
        <v>53000</v>
      </c>
      <c r="B316" s="494">
        <v>359</v>
      </c>
      <c r="C316" s="494">
        <v>12</v>
      </c>
      <c r="D316" s="514" t="s">
        <v>110</v>
      </c>
      <c r="E316" s="514">
        <v>44</v>
      </c>
      <c r="F316" s="232" t="s">
        <v>333</v>
      </c>
      <c r="G316" s="647"/>
      <c r="H316" s="647">
        <v>900000</v>
      </c>
      <c r="I316" s="696"/>
      <c r="J316" s="680"/>
      <c r="K316" s="647">
        <v>0</v>
      </c>
      <c r="L316" s="230"/>
      <c r="M316" s="230"/>
      <c r="N316" s="231"/>
    </row>
    <row r="317" spans="1:14" ht="12.95" thickBot="1">
      <c r="A317" s="493">
        <v>53000</v>
      </c>
      <c r="B317" s="494">
        <v>359</v>
      </c>
      <c r="C317" s="494">
        <v>12</v>
      </c>
      <c r="D317" s="494">
        <v>99</v>
      </c>
      <c r="E317" s="494">
        <v>99</v>
      </c>
      <c r="F317" s="232" t="s">
        <v>334</v>
      </c>
      <c r="G317" s="647">
        <v>0</v>
      </c>
      <c r="H317" s="647"/>
      <c r="I317" s="696"/>
      <c r="J317" s="647"/>
      <c r="K317" s="647"/>
      <c r="L317" s="230"/>
      <c r="M317" s="230"/>
      <c r="N317" s="231"/>
    </row>
    <row r="318" spans="1:14" ht="26.45" thickBot="1">
      <c r="F318" s="234" t="s">
        <v>335</v>
      </c>
      <c r="G318" s="653">
        <f>G317+G316+G315+G314+G313+G312+G311+G310+G309+G308+G307+G306</f>
        <v>67853243</v>
      </c>
      <c r="H318" s="653">
        <f>H317+H316+H315+H314+H313+H312+H311+H310+H309+H308+H307+H306</f>
        <v>122716300</v>
      </c>
      <c r="I318" s="700">
        <f>SUM(I306:I317)</f>
        <v>32133737</v>
      </c>
      <c r="J318" s="653">
        <f>SUM(J306:J317)</f>
        <v>107648300</v>
      </c>
      <c r="K318" s="653">
        <f t="shared" ref="K318:N318" si="47">SUM(K306:K317)</f>
        <v>-14168000</v>
      </c>
      <c r="L318" s="633">
        <f t="shared" si="47"/>
        <v>1532000</v>
      </c>
      <c r="M318" s="186" t="e">
        <f t="shared" si="47"/>
        <v>#REF!</v>
      </c>
      <c r="N318" s="237">
        <f t="shared" si="47"/>
        <v>0</v>
      </c>
    </row>
    <row r="319" spans="1:14" ht="12.95">
      <c r="F319" s="229"/>
      <c r="G319" s="661"/>
      <c r="H319" s="661"/>
      <c r="I319" s="696"/>
      <c r="J319" s="661"/>
      <c r="K319" s="661"/>
      <c r="L319" s="230"/>
      <c r="M319" s="230"/>
      <c r="N319" s="231"/>
    </row>
    <row r="320" spans="1:14" ht="39">
      <c r="F320" s="513" t="s">
        <v>336</v>
      </c>
      <c r="G320" s="651"/>
      <c r="H320" s="647"/>
      <c r="I320" s="696" t="s">
        <v>18</v>
      </c>
      <c r="J320" s="647"/>
      <c r="K320" s="647"/>
      <c r="L320" s="230"/>
      <c r="M320" s="230"/>
      <c r="N320" s="231"/>
    </row>
    <row r="321" spans="1:14">
      <c r="A321" s="493">
        <v>56000</v>
      </c>
      <c r="B321" s="494">
        <v>224</v>
      </c>
      <c r="C321" s="494">
        <v>12</v>
      </c>
      <c r="D321" s="494">
        <v>16</v>
      </c>
      <c r="E321" s="494">
        <v>26</v>
      </c>
      <c r="F321" s="233" t="s">
        <v>337</v>
      </c>
      <c r="G321" s="647">
        <v>12006314</v>
      </c>
      <c r="H321" s="647">
        <v>16309000</v>
      </c>
      <c r="I321" s="696">
        <f>'[2]To date'!$M$380+'SUMMARY SHEET AUGUST -DECEMBER'!H378</f>
        <v>337322.33999999997</v>
      </c>
      <c r="J321" s="647">
        <f>12000000+4309000</f>
        <v>16309000</v>
      </c>
      <c r="K321" s="647">
        <f>J321-H321</f>
        <v>0</v>
      </c>
      <c r="L321" s="230">
        <f>SUM(L318:L320)</f>
        <v>1532000</v>
      </c>
      <c r="M321" s="230" t="e">
        <f>M318</f>
        <v>#REF!</v>
      </c>
      <c r="N321" s="231"/>
    </row>
    <row r="322" spans="1:14">
      <c r="F322" s="233" t="s">
        <v>338</v>
      </c>
      <c r="G322" s="647">
        <v>0</v>
      </c>
      <c r="H322" s="647"/>
      <c r="I322" s="696"/>
      <c r="J322" s="647">
        <v>24461251</v>
      </c>
      <c r="K322" s="647"/>
      <c r="L322" s="230"/>
      <c r="M322" s="230"/>
      <c r="N322" s="231"/>
    </row>
    <row r="323" spans="1:14">
      <c r="F323" s="233" t="s">
        <v>339</v>
      </c>
      <c r="G323" s="647"/>
      <c r="H323" s="647"/>
      <c r="I323" s="696"/>
      <c r="J323" s="647">
        <v>371000</v>
      </c>
      <c r="K323" s="647"/>
      <c r="L323" s="230"/>
      <c r="M323" s="230"/>
      <c r="N323" s="231"/>
    </row>
    <row r="324" spans="1:14">
      <c r="F324" s="233" t="s">
        <v>340</v>
      </c>
      <c r="G324" s="647">
        <v>0</v>
      </c>
      <c r="H324" s="647"/>
      <c r="I324" s="696"/>
      <c r="J324" s="647">
        <v>77886201</v>
      </c>
      <c r="K324" s="647"/>
      <c r="L324" s="230"/>
      <c r="M324" s="230"/>
      <c r="N324" s="231"/>
    </row>
    <row r="325" spans="1:14">
      <c r="A325" s="493">
        <v>56000</v>
      </c>
      <c r="B325" s="494">
        <v>224</v>
      </c>
      <c r="C325" s="494">
        <v>12</v>
      </c>
      <c r="D325" s="494">
        <v>99</v>
      </c>
      <c r="E325" s="494">
        <v>99</v>
      </c>
      <c r="F325" s="233" t="s">
        <v>116</v>
      </c>
      <c r="G325" s="647">
        <v>56884101.450000003</v>
      </c>
      <c r="H325" s="647">
        <v>110016000</v>
      </c>
      <c r="I325" s="696">
        <f>'[2]To date'!$M$381+'SUMMARY SHEET AUGUST -DECEMBER'!H379</f>
        <v>1846317.25</v>
      </c>
      <c r="J325" s="647">
        <v>593600</v>
      </c>
      <c r="K325" s="647">
        <f>J325-H325</f>
        <v>-109422400</v>
      </c>
      <c r="L325" s="230"/>
      <c r="M325" s="230"/>
      <c r="N325" s="231"/>
    </row>
    <row r="326" spans="1:14" ht="12.95" thickBot="1">
      <c r="F326" s="233"/>
      <c r="G326" s="647"/>
      <c r="H326" s="647"/>
      <c r="I326" s="696"/>
      <c r="J326" s="647"/>
      <c r="K326" s="647"/>
      <c r="L326" s="230"/>
      <c r="M326" s="230"/>
      <c r="N326" s="231"/>
    </row>
    <row r="327" spans="1:14" ht="39.6" thickBot="1">
      <c r="F327" s="521" t="s">
        <v>341</v>
      </c>
      <c r="G327" s="653">
        <f>G325+G324+G323+G322+G321</f>
        <v>68890415.450000003</v>
      </c>
      <c r="H327" s="653">
        <f>H325+H324+H323+H322+H321</f>
        <v>126325000</v>
      </c>
      <c r="I327" s="700">
        <f t="shared" ref="I327:N327" si="48">SUM(I321:I325)</f>
        <v>2183639.59</v>
      </c>
      <c r="J327" s="653">
        <f>SUM(J321:J325)</f>
        <v>119621052</v>
      </c>
      <c r="K327" s="653">
        <f t="shared" si="48"/>
        <v>-109422400</v>
      </c>
      <c r="L327" s="633">
        <f t="shared" si="48"/>
        <v>1532000</v>
      </c>
      <c r="M327" s="186" t="e">
        <f t="shared" si="48"/>
        <v>#REF!</v>
      </c>
      <c r="N327" s="237">
        <f t="shared" si="48"/>
        <v>0</v>
      </c>
    </row>
    <row r="328" spans="1:14">
      <c r="F328" s="232"/>
      <c r="G328" s="651"/>
      <c r="H328" s="647"/>
      <c r="I328" s="696" t="s">
        <v>18</v>
      </c>
      <c r="J328" s="647"/>
      <c r="K328" s="647"/>
      <c r="L328" s="230"/>
      <c r="M328" s="230"/>
      <c r="N328" s="231"/>
    </row>
    <row r="329" spans="1:14" ht="26.1">
      <c r="F329" s="513" t="s">
        <v>342</v>
      </c>
      <c r="G329" s="651"/>
      <c r="H329" s="647"/>
      <c r="I329" s="696"/>
      <c r="J329" s="647"/>
      <c r="K329" s="647"/>
      <c r="L329" s="230"/>
      <c r="M329" s="230"/>
      <c r="N329" s="231"/>
    </row>
    <row r="330" spans="1:14">
      <c r="F330" s="232" t="s">
        <v>343</v>
      </c>
      <c r="G330" s="647">
        <v>45891842.899999999</v>
      </c>
      <c r="H330" s="647">
        <v>162000000</v>
      </c>
      <c r="I330" s="696"/>
      <c r="J330" s="647"/>
      <c r="K330" s="647">
        <f>J330-H330</f>
        <v>-162000000</v>
      </c>
      <c r="L330" s="230"/>
      <c r="M330" s="230"/>
      <c r="N330" s="231"/>
    </row>
    <row r="331" spans="1:14">
      <c r="F331" s="232" t="s">
        <v>344</v>
      </c>
      <c r="G331" s="647">
        <v>64690882.07</v>
      </c>
      <c r="H331" s="647">
        <v>480000000</v>
      </c>
      <c r="I331" s="696"/>
      <c r="J331" s="647"/>
      <c r="K331" s="647">
        <f t="shared" ref="K331:K343" si="49">J331-H331</f>
        <v>-480000000</v>
      </c>
      <c r="L331" s="230"/>
      <c r="M331" s="230"/>
      <c r="N331" s="231"/>
    </row>
    <row r="332" spans="1:14" ht="24.95">
      <c r="F332" s="233" t="s">
        <v>345</v>
      </c>
      <c r="G332" s="647">
        <v>1187060</v>
      </c>
      <c r="H332" s="647">
        <v>0</v>
      </c>
      <c r="I332" s="696"/>
      <c r="J332" s="680"/>
      <c r="K332" s="647">
        <f t="shared" si="49"/>
        <v>0</v>
      </c>
      <c r="L332" s="230"/>
      <c r="M332" s="230"/>
      <c r="N332" s="231"/>
    </row>
    <row r="333" spans="1:14" ht="24.95">
      <c r="F333" s="233" t="s">
        <v>346</v>
      </c>
      <c r="G333" s="647"/>
      <c r="H333" s="647">
        <v>2500000</v>
      </c>
      <c r="I333" s="696"/>
      <c r="J333" s="647"/>
      <c r="K333" s="647">
        <f t="shared" si="49"/>
        <v>-2500000</v>
      </c>
      <c r="L333" s="230"/>
      <c r="M333" s="230"/>
      <c r="N333" s="231"/>
    </row>
    <row r="334" spans="1:14">
      <c r="F334" s="232" t="s">
        <v>347</v>
      </c>
      <c r="G334" s="647"/>
      <c r="H334" s="647">
        <v>0</v>
      </c>
      <c r="I334" s="696"/>
      <c r="J334" s="647"/>
      <c r="K334" s="647">
        <f t="shared" si="49"/>
        <v>0</v>
      </c>
      <c r="L334" s="230"/>
      <c r="M334" s="230"/>
      <c r="N334" s="231"/>
    </row>
    <row r="335" spans="1:14">
      <c r="F335" s="232" t="s">
        <v>348</v>
      </c>
      <c r="G335" s="647">
        <v>5326091.87</v>
      </c>
      <c r="H335" s="647">
        <v>30000000</v>
      </c>
      <c r="I335" s="696"/>
      <c r="J335" s="647"/>
      <c r="K335" s="647">
        <f t="shared" si="49"/>
        <v>-30000000</v>
      </c>
      <c r="L335" s="230"/>
      <c r="M335" s="230"/>
      <c r="N335" s="231"/>
    </row>
    <row r="336" spans="1:14">
      <c r="F336" s="232" t="s">
        <v>349</v>
      </c>
      <c r="G336" s="647">
        <v>8530048</v>
      </c>
      <c r="H336" s="647">
        <v>29000000</v>
      </c>
      <c r="I336" s="696"/>
      <c r="J336" s="647"/>
      <c r="K336" s="647">
        <f t="shared" si="49"/>
        <v>-29000000</v>
      </c>
      <c r="L336" s="230"/>
      <c r="M336" s="230"/>
      <c r="N336" s="231"/>
    </row>
    <row r="337" spans="1:17" ht="24.95">
      <c r="F337" s="232" t="s">
        <v>350</v>
      </c>
      <c r="G337" s="647"/>
      <c r="H337" s="647">
        <v>0</v>
      </c>
      <c r="I337" s="696"/>
      <c r="J337" s="647"/>
      <c r="K337" s="647">
        <f t="shared" si="49"/>
        <v>0</v>
      </c>
      <c r="L337" s="230"/>
      <c r="M337" s="230"/>
      <c r="N337" s="231"/>
    </row>
    <row r="338" spans="1:17">
      <c r="F338" s="232" t="s">
        <v>351</v>
      </c>
      <c r="G338" s="647">
        <v>4180020</v>
      </c>
      <c r="H338" s="647">
        <v>18000000</v>
      </c>
      <c r="I338" s="696"/>
      <c r="J338" s="647"/>
      <c r="K338" s="647">
        <f t="shared" si="49"/>
        <v>-18000000</v>
      </c>
      <c r="L338" s="230"/>
      <c r="M338" s="230"/>
      <c r="N338" s="231"/>
    </row>
    <row r="339" spans="1:17">
      <c r="F339" s="232" t="s">
        <v>352</v>
      </c>
      <c r="G339" s="647">
        <v>62557816.049999997</v>
      </c>
      <c r="H339" s="647">
        <v>15000000</v>
      </c>
      <c r="I339" s="696"/>
      <c r="J339" s="647"/>
      <c r="K339" s="647">
        <f t="shared" si="49"/>
        <v>-15000000</v>
      </c>
      <c r="L339" s="230"/>
      <c r="M339" s="230"/>
      <c r="N339" s="231"/>
    </row>
    <row r="340" spans="1:17" ht="24.95">
      <c r="F340" s="233" t="s">
        <v>353</v>
      </c>
      <c r="G340" s="647">
        <v>2110804.3199999998</v>
      </c>
      <c r="H340" s="647">
        <v>8000000</v>
      </c>
      <c r="I340" s="696"/>
      <c r="J340" s="647"/>
      <c r="K340" s="647">
        <f t="shared" si="49"/>
        <v>-8000000</v>
      </c>
      <c r="L340" s="230"/>
      <c r="M340" s="230"/>
      <c r="N340" s="231"/>
    </row>
    <row r="341" spans="1:17" ht="37.5">
      <c r="F341" s="233" t="s">
        <v>354</v>
      </c>
      <c r="G341" s="647">
        <v>9303558</v>
      </c>
      <c r="H341" s="647">
        <v>6500000</v>
      </c>
      <c r="I341" s="696"/>
      <c r="J341" s="647"/>
      <c r="K341" s="647">
        <f t="shared" si="49"/>
        <v>-6500000</v>
      </c>
      <c r="L341" s="230"/>
      <c r="M341" s="230"/>
      <c r="N341" s="231"/>
    </row>
    <row r="342" spans="1:17" ht="25.5" thickBot="1">
      <c r="F342" s="233" t="s">
        <v>355</v>
      </c>
      <c r="G342" s="651"/>
      <c r="H342" s="647">
        <v>170000000</v>
      </c>
      <c r="I342" s="696"/>
      <c r="J342" s="647"/>
      <c r="K342" s="647">
        <f t="shared" si="49"/>
        <v>-170000000</v>
      </c>
      <c r="L342" s="230"/>
      <c r="M342" s="230"/>
      <c r="N342" s="231"/>
    </row>
    <row r="343" spans="1:17" ht="26.45" thickBot="1">
      <c r="F343" s="521" t="s">
        <v>356</v>
      </c>
      <c r="G343" s="663">
        <f>G341+G340+G339+G338+G337+G336+G335+G334+G333+G332+G331+G330</f>
        <v>203778123.21000001</v>
      </c>
      <c r="H343" s="663">
        <f>H342+H341+H340+H339+H338+H337+H336+H335+H333+H332+H331+H330</f>
        <v>921000000</v>
      </c>
      <c r="I343" s="699"/>
      <c r="J343" s="659"/>
      <c r="K343" s="659">
        <f t="shared" si="49"/>
        <v>-921000000</v>
      </c>
      <c r="L343" s="548"/>
      <c r="M343" s="548"/>
      <c r="N343" s="549"/>
    </row>
    <row r="344" spans="1:17" s="722" customFormat="1">
      <c r="A344" s="716"/>
      <c r="B344" s="506"/>
      <c r="C344" s="506"/>
      <c r="D344" s="506"/>
      <c r="E344" s="506"/>
      <c r="F344" s="671"/>
      <c r="G344" s="717"/>
      <c r="H344" s="718"/>
      <c r="I344" s="719"/>
      <c r="J344" s="718"/>
      <c r="K344" s="718"/>
      <c r="L344" s="720"/>
      <c r="M344" s="720"/>
      <c r="N344" s="721"/>
    </row>
    <row r="345" spans="1:17" ht="12.95">
      <c r="F345" s="513" t="s">
        <v>357</v>
      </c>
      <c r="G345" s="651"/>
      <c r="H345" s="647"/>
      <c r="I345" s="696" t="s">
        <v>18</v>
      </c>
      <c r="J345" s="678"/>
      <c r="K345" s="647"/>
      <c r="L345" s="230">
        <f>SUM(J345:J345)</f>
        <v>0</v>
      </c>
      <c r="M345" s="230" t="e">
        <f>#REF!-#REF!</f>
        <v>#REF!</v>
      </c>
      <c r="N345" s="231"/>
    </row>
    <row r="346" spans="1:17">
      <c r="A346" s="493">
        <v>68000</v>
      </c>
      <c r="B346" s="514" t="s">
        <v>89</v>
      </c>
      <c r="C346" s="494">
        <v>12</v>
      </c>
      <c r="D346" s="494">
        <v>16</v>
      </c>
      <c r="E346" s="534" t="s">
        <v>102</v>
      </c>
      <c r="F346" s="233" t="s">
        <v>251</v>
      </c>
      <c r="G346" s="647">
        <v>0</v>
      </c>
      <c r="H346" s="647"/>
      <c r="I346" s="696"/>
      <c r="J346" s="648"/>
      <c r="K346" s="647">
        <f t="shared" ref="K346:K351" si="50">J346-H346</f>
        <v>0</v>
      </c>
      <c r="L346" s="230">
        <f>SUM(J346:J346)</f>
        <v>0</v>
      </c>
      <c r="M346" s="230" t="e">
        <f>#REF!-#REF!</f>
        <v>#REF!</v>
      </c>
      <c r="N346" s="231"/>
    </row>
    <row r="347" spans="1:17">
      <c r="A347" s="493">
        <v>68000</v>
      </c>
      <c r="B347" s="514" t="s">
        <v>89</v>
      </c>
      <c r="C347" s="494">
        <v>12</v>
      </c>
      <c r="D347" s="494">
        <v>99</v>
      </c>
      <c r="E347" s="494">
        <v>99</v>
      </c>
      <c r="F347" s="232" t="s">
        <v>358</v>
      </c>
      <c r="G347" s="647">
        <v>23708</v>
      </c>
      <c r="H347" s="647"/>
      <c r="I347" s="696"/>
      <c r="J347" s="648"/>
      <c r="K347" s="647">
        <f t="shared" si="50"/>
        <v>0</v>
      </c>
      <c r="L347" s="230">
        <f>SUM(J347:J347)</f>
        <v>0</v>
      </c>
      <c r="M347" s="230" t="e">
        <f>#REF!-#REF!</f>
        <v>#REF!</v>
      </c>
      <c r="N347" s="231"/>
    </row>
    <row r="348" spans="1:17">
      <c r="A348" s="493">
        <v>68000</v>
      </c>
      <c r="B348" s="514" t="s">
        <v>89</v>
      </c>
      <c r="C348" s="494">
        <v>12</v>
      </c>
      <c r="D348" s="494">
        <v>99</v>
      </c>
      <c r="E348" s="494">
        <v>99</v>
      </c>
      <c r="F348" s="232" t="s">
        <v>116</v>
      </c>
      <c r="G348" s="647">
        <v>14946426.91</v>
      </c>
      <c r="H348" s="647"/>
      <c r="I348" s="696">
        <f>'[2]To date'!$M$411+'SUMMARY SHEET AUGUST -DECEMBER'!H420-137956415.01</f>
        <v>77670.050000011921</v>
      </c>
      <c r="J348" s="648"/>
      <c r="K348" s="647">
        <f t="shared" si="50"/>
        <v>0</v>
      </c>
      <c r="L348" s="230">
        <f>SUM(J348:J348)</f>
        <v>0</v>
      </c>
      <c r="M348" s="230" t="e">
        <f>#REF!-#REF!</f>
        <v>#REF!</v>
      </c>
      <c r="N348" s="231"/>
    </row>
    <row r="349" spans="1:17">
      <c r="A349" s="493">
        <v>68000</v>
      </c>
      <c r="B349" s="514" t="s">
        <v>89</v>
      </c>
      <c r="C349" s="494">
        <v>12</v>
      </c>
      <c r="D349" s="494">
        <v>10</v>
      </c>
      <c r="E349" s="514" t="s">
        <v>110</v>
      </c>
      <c r="F349" s="232" t="s">
        <v>359</v>
      </c>
      <c r="G349" s="647"/>
      <c r="H349" s="647"/>
      <c r="I349" s="696"/>
      <c r="J349" s="648"/>
      <c r="K349" s="647">
        <f t="shared" si="50"/>
        <v>0</v>
      </c>
      <c r="L349" s="230">
        <f>SUM(L345:L348)</f>
        <v>0</v>
      </c>
      <c r="M349" s="230" t="e">
        <f>SUM(M345:M348)</f>
        <v>#REF!</v>
      </c>
      <c r="N349" s="231"/>
    </row>
    <row r="350" spans="1:17">
      <c r="A350" s="493">
        <v>68000</v>
      </c>
      <c r="B350" s="514" t="s">
        <v>89</v>
      </c>
      <c r="C350" s="494">
        <v>12</v>
      </c>
      <c r="D350" s="494">
        <v>17</v>
      </c>
      <c r="E350" s="494">
        <v>18</v>
      </c>
      <c r="F350" s="232" t="s">
        <v>360</v>
      </c>
      <c r="G350" s="647"/>
      <c r="H350" s="647"/>
      <c r="I350" s="696"/>
      <c r="J350" s="648"/>
      <c r="K350" s="647">
        <f t="shared" si="50"/>
        <v>0</v>
      </c>
      <c r="L350" s="230"/>
      <c r="M350" s="230"/>
      <c r="N350" s="231"/>
    </row>
    <row r="351" spans="1:17" ht="12.95" thickBot="1">
      <c r="A351" s="493">
        <v>68000</v>
      </c>
      <c r="B351" s="514" t="s">
        <v>89</v>
      </c>
      <c r="C351" s="494">
        <v>12</v>
      </c>
      <c r="D351" s="494">
        <v>24</v>
      </c>
      <c r="F351" s="232" t="s">
        <v>361</v>
      </c>
      <c r="G351" s="647">
        <v>5463303618.4700003</v>
      </c>
      <c r="H351" s="647">
        <v>4495931702</v>
      </c>
      <c r="I351" s="696">
        <f>[4]Sheet1!$N$11</f>
        <v>4368101962.2300005</v>
      </c>
      <c r="J351" s="648">
        <v>6603862000</v>
      </c>
      <c r="K351" s="647">
        <f t="shared" si="50"/>
        <v>2107930298</v>
      </c>
      <c r="L351" s="230"/>
      <c r="M351" s="230"/>
      <c r="N351" s="231"/>
    </row>
    <row r="352" spans="1:17" ht="26.45" thickBot="1">
      <c r="F352" s="521" t="s">
        <v>362</v>
      </c>
      <c r="G352" s="653">
        <f>G351+G350+G349+G348+G347+G346</f>
        <v>5478273753.3800001</v>
      </c>
      <c r="H352" s="653">
        <f>H351+H350+H349+H348+H347+H346</f>
        <v>4495931702</v>
      </c>
      <c r="I352" s="700">
        <f>SUM(I346:I351)</f>
        <v>4368179632.2800007</v>
      </c>
      <c r="J352" s="653">
        <f>SUM(J346:J351)</f>
        <v>6603862000</v>
      </c>
      <c r="K352" s="653">
        <f t="shared" ref="K352:N352" si="51">SUM(K346:K351)</f>
        <v>2107930298</v>
      </c>
      <c r="L352" s="633">
        <f t="shared" si="51"/>
        <v>0</v>
      </c>
      <c r="M352" s="186" t="e">
        <f t="shared" si="51"/>
        <v>#REF!</v>
      </c>
      <c r="N352" s="237">
        <f t="shared" si="51"/>
        <v>0</v>
      </c>
      <c r="Q352" s="536"/>
    </row>
    <row r="353" spans="1:14">
      <c r="F353" s="232"/>
      <c r="G353" s="651"/>
      <c r="H353" s="647"/>
      <c r="I353" s="696" t="s">
        <v>18</v>
      </c>
      <c r="J353" s="648"/>
      <c r="K353" s="647"/>
      <c r="L353" s="230"/>
      <c r="M353" s="230"/>
      <c r="N353" s="231"/>
    </row>
    <row r="354" spans="1:14" ht="12.95">
      <c r="F354" s="513" t="s">
        <v>274</v>
      </c>
      <c r="G354" s="651"/>
      <c r="H354" s="647"/>
      <c r="I354" s="696" t="s">
        <v>18</v>
      </c>
      <c r="J354" s="678"/>
      <c r="K354" s="647"/>
      <c r="L354" s="230"/>
      <c r="M354" s="230"/>
      <c r="N354" s="231"/>
    </row>
    <row r="355" spans="1:14" ht="12.95">
      <c r="A355" s="493">
        <v>68000</v>
      </c>
      <c r="B355" s="494">
        <v>577</v>
      </c>
      <c r="C355" s="494">
        <v>12</v>
      </c>
      <c r="F355" s="232" t="s">
        <v>363</v>
      </c>
      <c r="G355" s="647"/>
      <c r="H355" s="647"/>
      <c r="I355" s="696" t="s">
        <v>18</v>
      </c>
      <c r="J355" s="678"/>
      <c r="K355" s="647"/>
      <c r="L355" s="230"/>
      <c r="M355" s="230"/>
      <c r="N355" s="231"/>
    </row>
    <row r="356" spans="1:14" ht="12.95">
      <c r="A356" s="493">
        <v>68000</v>
      </c>
      <c r="B356" s="494">
        <v>577</v>
      </c>
      <c r="C356" s="494">
        <v>12</v>
      </c>
      <c r="D356" s="494">
        <v>8</v>
      </c>
      <c r="E356" s="494">
        <v>14</v>
      </c>
      <c r="F356" s="232" t="s">
        <v>364</v>
      </c>
      <c r="G356" s="647"/>
      <c r="H356" s="647"/>
      <c r="I356" s="696" t="s">
        <v>18</v>
      </c>
      <c r="J356" s="678"/>
      <c r="K356" s="647"/>
      <c r="L356" s="230"/>
      <c r="M356" s="230"/>
      <c r="N356" s="231"/>
    </row>
    <row r="357" spans="1:14">
      <c r="A357" s="493">
        <v>68000</v>
      </c>
      <c r="B357" s="494">
        <v>577</v>
      </c>
      <c r="C357" s="494">
        <v>12</v>
      </c>
      <c r="D357" s="514" t="s">
        <v>202</v>
      </c>
      <c r="E357" s="532">
        <v>99</v>
      </c>
      <c r="F357" s="232" t="s">
        <v>365</v>
      </c>
      <c r="G357" s="647">
        <v>0</v>
      </c>
      <c r="H357" s="647">
        <v>860000</v>
      </c>
      <c r="I357" s="696"/>
      <c r="J357" s="648">
        <v>860000</v>
      </c>
      <c r="K357" s="647">
        <f t="shared" ref="K357:K363" si="52">J357-H357</f>
        <v>0</v>
      </c>
      <c r="L357" s="230">
        <f>SUM(J357:J357)</f>
        <v>860000</v>
      </c>
      <c r="M357" s="230" t="e">
        <f>#REF!-#REF!</f>
        <v>#REF!</v>
      </c>
      <c r="N357" s="231"/>
    </row>
    <row r="358" spans="1:14">
      <c r="A358" s="493">
        <v>68000</v>
      </c>
      <c r="B358" s="494">
        <v>577</v>
      </c>
      <c r="C358" s="494">
        <v>12</v>
      </c>
      <c r="D358" s="494">
        <v>16</v>
      </c>
      <c r="E358" s="514" t="s">
        <v>91</v>
      </c>
      <c r="F358" s="232" t="s">
        <v>366</v>
      </c>
      <c r="G358" s="647">
        <v>0</v>
      </c>
      <c r="H358" s="647">
        <v>12000000</v>
      </c>
      <c r="I358" s="696"/>
      <c r="J358" s="648">
        <v>4000000</v>
      </c>
      <c r="K358" s="647">
        <f t="shared" si="52"/>
        <v>-8000000</v>
      </c>
      <c r="L358" s="230"/>
      <c r="M358" s="230"/>
      <c r="N358" s="231"/>
    </row>
    <row r="359" spans="1:14">
      <c r="A359" s="493">
        <v>68000</v>
      </c>
      <c r="B359" s="494">
        <v>577</v>
      </c>
      <c r="C359" s="494">
        <v>12</v>
      </c>
      <c r="D359" s="494">
        <v>99</v>
      </c>
      <c r="E359" s="494">
        <v>99</v>
      </c>
      <c r="F359" s="232" t="s">
        <v>158</v>
      </c>
      <c r="G359" s="647">
        <v>0</v>
      </c>
      <c r="H359" s="647">
        <v>9360000</v>
      </c>
      <c r="I359" s="696">
        <f>'SUMMARY SHEET AUGUST -DECEMBER'!H420</f>
        <v>11392.84</v>
      </c>
      <c r="J359" s="648">
        <v>3350000</v>
      </c>
      <c r="K359" s="647">
        <f t="shared" si="52"/>
        <v>-6010000</v>
      </c>
      <c r="L359" s="230">
        <f>SUM(L357:L358)</f>
        <v>860000</v>
      </c>
      <c r="M359" s="230" t="e">
        <f>SUM(M357:M358)</f>
        <v>#REF!</v>
      </c>
      <c r="N359" s="231"/>
    </row>
    <row r="360" spans="1:14">
      <c r="A360" s="493">
        <v>68000</v>
      </c>
      <c r="B360" s="494">
        <v>577</v>
      </c>
      <c r="C360" s="494">
        <v>12</v>
      </c>
      <c r="D360" s="514" t="s">
        <v>102</v>
      </c>
      <c r="E360" s="514" t="s">
        <v>91</v>
      </c>
      <c r="F360" s="232" t="s">
        <v>367</v>
      </c>
      <c r="G360" s="647">
        <v>730476318.09000003</v>
      </c>
      <c r="H360" s="647">
        <v>880208000</v>
      </c>
      <c r="I360" s="696">
        <f>'[2]To date'!$M$423+'SUMMARY SHEET AUGUST -DECEMBER'!H421</f>
        <v>227714438.76999998</v>
      </c>
      <c r="J360" s="648">
        <v>450000000</v>
      </c>
      <c r="K360" s="647">
        <f t="shared" si="52"/>
        <v>-430208000</v>
      </c>
      <c r="L360" s="230"/>
      <c r="M360" s="230"/>
      <c r="N360" s="231"/>
    </row>
    <row r="361" spans="1:14">
      <c r="A361" s="493">
        <v>68000</v>
      </c>
      <c r="B361" s="494">
        <v>577</v>
      </c>
      <c r="C361" s="494">
        <v>12</v>
      </c>
      <c r="D361" s="514" t="s">
        <v>102</v>
      </c>
      <c r="E361" s="514" t="s">
        <v>100</v>
      </c>
      <c r="F361" s="232" t="s">
        <v>368</v>
      </c>
      <c r="G361" s="647">
        <v>8504795.5800000001</v>
      </c>
      <c r="H361" s="647">
        <v>22000000</v>
      </c>
      <c r="I361" s="696">
        <f>'[2]To date'!$M$424</f>
        <v>1961481.07</v>
      </c>
      <c r="J361" s="648">
        <v>12000000</v>
      </c>
      <c r="K361" s="647">
        <f t="shared" si="52"/>
        <v>-10000000</v>
      </c>
      <c r="L361" s="230"/>
      <c r="M361" s="230"/>
      <c r="N361" s="231"/>
    </row>
    <row r="362" spans="1:14">
      <c r="A362" s="493">
        <v>68000</v>
      </c>
      <c r="B362" s="494">
        <v>577</v>
      </c>
      <c r="C362" s="494">
        <v>12</v>
      </c>
      <c r="D362" s="514" t="s">
        <v>102</v>
      </c>
      <c r="E362" s="514" t="s">
        <v>102</v>
      </c>
      <c r="F362" s="232" t="s">
        <v>369</v>
      </c>
      <c r="G362" s="647">
        <v>293897.24</v>
      </c>
      <c r="H362" s="647"/>
      <c r="I362" s="696"/>
      <c r="J362" s="648"/>
      <c r="K362" s="647">
        <f t="shared" si="52"/>
        <v>0</v>
      </c>
      <c r="L362" s="230"/>
      <c r="M362" s="230"/>
      <c r="N362" s="231"/>
    </row>
    <row r="363" spans="1:14" ht="12.95" thickBot="1">
      <c r="A363" s="493">
        <v>68000</v>
      </c>
      <c r="B363" s="494">
        <v>577</v>
      </c>
      <c r="C363" s="494">
        <v>12</v>
      </c>
      <c r="D363" s="514">
        <v>99</v>
      </c>
      <c r="E363" s="514">
        <v>99</v>
      </c>
      <c r="F363" s="232" t="s">
        <v>370</v>
      </c>
      <c r="G363" s="647">
        <v>828600.25</v>
      </c>
      <c r="H363" s="647">
        <v>820000</v>
      </c>
      <c r="I363" s="696">
        <f>'[2]To date'!$M$426+'SUMMARY SHEET AUGUST -DECEMBER'!H424</f>
        <v>579100</v>
      </c>
      <c r="J363" s="648">
        <v>820000</v>
      </c>
      <c r="K363" s="647">
        <f t="shared" si="52"/>
        <v>0</v>
      </c>
      <c r="L363" s="230"/>
      <c r="M363" s="230"/>
      <c r="N363" s="231"/>
    </row>
    <row r="364" spans="1:14" ht="13.5" thickBot="1">
      <c r="F364" s="521" t="s">
        <v>371</v>
      </c>
      <c r="G364" s="653">
        <f>G363+G362+G361+G360</f>
        <v>740103611.16000009</v>
      </c>
      <c r="H364" s="653">
        <f>H363+H362+H361+H360+H359+H358+H357+H356+H355</f>
        <v>925248000</v>
      </c>
      <c r="I364" s="700">
        <f t="shared" ref="I364:N364" si="53">SUM(I355:I363)</f>
        <v>230266412.67999998</v>
      </c>
      <c r="J364" s="653">
        <f t="shared" si="53"/>
        <v>471030000</v>
      </c>
      <c r="K364" s="659">
        <f t="shared" si="53"/>
        <v>-454218000</v>
      </c>
      <c r="L364" s="638">
        <f t="shared" si="53"/>
        <v>1720000</v>
      </c>
      <c r="M364" s="544" t="e">
        <f t="shared" si="53"/>
        <v>#REF!</v>
      </c>
      <c r="N364" s="545">
        <f t="shared" si="53"/>
        <v>0</v>
      </c>
    </row>
    <row r="365" spans="1:14">
      <c r="F365" s="232"/>
      <c r="G365" s="651"/>
      <c r="H365" s="647"/>
      <c r="I365" s="696" t="str">
        <f>[3]new!U381</f>
        <v xml:space="preserve"> </v>
      </c>
      <c r="J365" s="648"/>
      <c r="K365" s="647"/>
      <c r="L365" s="230"/>
      <c r="M365" s="230"/>
      <c r="N365" s="231"/>
    </row>
    <row r="366" spans="1:14" ht="51.95">
      <c r="F366" s="513" t="s">
        <v>372</v>
      </c>
      <c r="G366" s="651"/>
      <c r="H366" s="647"/>
      <c r="I366" s="696" t="s">
        <v>18</v>
      </c>
      <c r="J366" s="678"/>
      <c r="K366" s="647"/>
      <c r="L366" s="230"/>
      <c r="M366" s="230"/>
      <c r="N366" s="231"/>
    </row>
    <row r="367" spans="1:14" ht="12.95">
      <c r="A367" s="493">
        <v>72000</v>
      </c>
      <c r="B367" s="494">
        <v>357</v>
      </c>
      <c r="C367" s="494">
        <v>12</v>
      </c>
      <c r="D367" s="494">
        <v>11</v>
      </c>
      <c r="E367" s="494">
        <v>40</v>
      </c>
      <c r="F367" s="232" t="s">
        <v>373</v>
      </c>
      <c r="G367" s="651">
        <v>0</v>
      </c>
      <c r="H367" s="647"/>
      <c r="I367" s="696" t="s">
        <v>18</v>
      </c>
      <c r="J367" s="678"/>
      <c r="K367" s="647"/>
      <c r="L367" s="230"/>
      <c r="M367" s="230"/>
      <c r="N367" s="231"/>
    </row>
    <row r="368" spans="1:14">
      <c r="A368" s="493">
        <v>72000</v>
      </c>
      <c r="B368" s="494">
        <v>357</v>
      </c>
      <c r="C368" s="494">
        <v>12</v>
      </c>
      <c r="D368" s="494">
        <v>16</v>
      </c>
      <c r="E368" s="514" t="s">
        <v>102</v>
      </c>
      <c r="F368" s="232" t="s">
        <v>374</v>
      </c>
      <c r="G368" s="647">
        <v>0</v>
      </c>
      <c r="H368" s="647"/>
      <c r="I368" s="696" t="s">
        <v>18</v>
      </c>
      <c r="J368" s="648"/>
      <c r="K368" s="647">
        <f t="shared" ref="K368:K373" si="54">J368-H368</f>
        <v>0</v>
      </c>
      <c r="L368" s="230"/>
      <c r="M368" s="230"/>
      <c r="N368" s="231"/>
    </row>
    <row r="369" spans="1:14">
      <c r="A369" s="493">
        <v>72000</v>
      </c>
      <c r="B369" s="494">
        <v>357</v>
      </c>
      <c r="C369" s="494">
        <v>12</v>
      </c>
      <c r="D369" s="494">
        <v>15</v>
      </c>
      <c r="E369" s="494">
        <v>52</v>
      </c>
      <c r="F369" s="232" t="s">
        <v>375</v>
      </c>
      <c r="G369" s="647"/>
      <c r="H369" s="647"/>
      <c r="I369" s="696" t="s">
        <v>18</v>
      </c>
      <c r="J369" s="648"/>
      <c r="K369" s="647">
        <f t="shared" si="54"/>
        <v>0</v>
      </c>
      <c r="L369" s="230"/>
      <c r="M369" s="230"/>
      <c r="N369" s="231"/>
    </row>
    <row r="370" spans="1:14">
      <c r="A370" s="493">
        <v>72000</v>
      </c>
      <c r="B370" s="494">
        <v>357</v>
      </c>
      <c r="C370" s="494">
        <v>12</v>
      </c>
      <c r="D370" s="514" t="s">
        <v>202</v>
      </c>
      <c r="E370" s="514" t="s">
        <v>100</v>
      </c>
      <c r="F370" s="232" t="s">
        <v>376</v>
      </c>
      <c r="G370" s="647"/>
      <c r="H370" s="647"/>
      <c r="I370" s="647" t="s">
        <v>18</v>
      </c>
      <c r="J370" s="648"/>
      <c r="K370" s="647">
        <f t="shared" si="54"/>
        <v>0</v>
      </c>
      <c r="L370" s="230"/>
      <c r="M370" s="230"/>
      <c r="N370" s="231"/>
    </row>
    <row r="371" spans="1:14">
      <c r="A371" s="493">
        <v>72000</v>
      </c>
      <c r="B371" s="494">
        <v>357</v>
      </c>
      <c r="C371" s="494">
        <v>12</v>
      </c>
      <c r="D371" s="514" t="s">
        <v>155</v>
      </c>
      <c r="E371" s="494">
        <v>10</v>
      </c>
      <c r="F371" s="232" t="s">
        <v>377</v>
      </c>
      <c r="G371" s="647"/>
      <c r="H371" s="647"/>
      <c r="I371" s="696" t="s">
        <v>18</v>
      </c>
      <c r="J371" s="648"/>
      <c r="K371" s="647">
        <f t="shared" si="54"/>
        <v>0</v>
      </c>
      <c r="L371" s="230"/>
      <c r="M371" s="230"/>
      <c r="N371" s="231"/>
    </row>
    <row r="372" spans="1:14">
      <c r="A372" s="493">
        <v>72000</v>
      </c>
      <c r="B372" s="494">
        <v>357</v>
      </c>
      <c r="C372" s="494">
        <v>12</v>
      </c>
      <c r="D372" s="514" t="s">
        <v>91</v>
      </c>
      <c r="E372" s="514" t="s">
        <v>100</v>
      </c>
      <c r="F372" s="232" t="s">
        <v>378</v>
      </c>
      <c r="G372" s="647"/>
      <c r="H372" s="647"/>
      <c r="I372" s="696" t="s">
        <v>18</v>
      </c>
      <c r="J372" s="648"/>
      <c r="K372" s="647">
        <f t="shared" si="54"/>
        <v>0</v>
      </c>
      <c r="L372" s="230">
        <f>SUM(J372:J372)</f>
        <v>0</v>
      </c>
      <c r="M372" s="230" t="e">
        <f>#REF!-#REF!</f>
        <v>#REF!</v>
      </c>
      <c r="N372" s="231"/>
    </row>
    <row r="373" spans="1:14" ht="12.95" thickBot="1">
      <c r="A373" s="493">
        <v>72000</v>
      </c>
      <c r="B373" s="494">
        <v>357</v>
      </c>
      <c r="C373" s="494">
        <v>12</v>
      </c>
      <c r="D373" s="494">
        <v>99</v>
      </c>
      <c r="E373" s="494">
        <v>99</v>
      </c>
      <c r="F373" s="232" t="s">
        <v>379</v>
      </c>
      <c r="G373" s="647">
        <v>3096761.96</v>
      </c>
      <c r="H373" s="647">
        <v>69000</v>
      </c>
      <c r="I373" s="647">
        <f>'SUMMARY SHEET AUGUST -DECEMBER'!H434</f>
        <v>5375</v>
      </c>
      <c r="J373" s="648">
        <v>69000</v>
      </c>
      <c r="K373" s="647">
        <f t="shared" si="54"/>
        <v>0</v>
      </c>
      <c r="L373" s="230">
        <f>SUM(J373:J373)</f>
        <v>69000</v>
      </c>
      <c r="M373" s="230" t="e">
        <f>#REF!-#REF!</f>
        <v>#REF!</v>
      </c>
      <c r="N373" s="231"/>
    </row>
    <row r="374" spans="1:14" ht="39.6" thickBot="1">
      <c r="F374" s="521" t="s">
        <v>380</v>
      </c>
      <c r="G374" s="653">
        <f>G373</f>
        <v>3096761.96</v>
      </c>
      <c r="H374" s="653">
        <f>H373+H372+H371+H370+H369+H368+H367</f>
        <v>69000</v>
      </c>
      <c r="I374" s="700">
        <f t="shared" ref="I374:N374" si="55">SUM(I367:I373)</f>
        <v>5375</v>
      </c>
      <c r="J374" s="653">
        <f t="shared" si="55"/>
        <v>69000</v>
      </c>
      <c r="K374" s="653">
        <f t="shared" si="55"/>
        <v>0</v>
      </c>
      <c r="L374" s="633">
        <f t="shared" si="55"/>
        <v>69000</v>
      </c>
      <c r="M374" s="186" t="e">
        <f t="shared" si="55"/>
        <v>#REF!</v>
      </c>
      <c r="N374" s="237">
        <f t="shared" si="55"/>
        <v>0</v>
      </c>
    </row>
    <row r="375" spans="1:14" ht="26.1">
      <c r="F375" s="513" t="s">
        <v>381</v>
      </c>
      <c r="G375" s="651"/>
      <c r="H375" s="661">
        <f>3992380672.39</f>
        <v>3992380672.3899999</v>
      </c>
      <c r="I375" s="696" t="s">
        <v>274</v>
      </c>
      <c r="J375" s="648"/>
      <c r="K375" s="647"/>
      <c r="L375" s="230">
        <f>SUM(J375:J375)</f>
        <v>0</v>
      </c>
      <c r="M375" s="230" t="e">
        <f>#REF!-#REF!</f>
        <v>#REF!</v>
      </c>
      <c r="N375" s="231"/>
    </row>
    <row r="376" spans="1:14" ht="12.95" thickBot="1">
      <c r="F376" s="232"/>
      <c r="G376" s="647"/>
      <c r="H376" s="647"/>
      <c r="I376" s="696"/>
      <c r="J376" s="647"/>
      <c r="K376" s="647"/>
      <c r="L376" s="230"/>
      <c r="M376" s="230"/>
      <c r="N376" s="231"/>
    </row>
    <row r="377" spans="1:14" ht="26.45" thickBot="1">
      <c r="F377" s="521" t="s">
        <v>382</v>
      </c>
      <c r="G377" s="653">
        <v>2483984671.9200001</v>
      </c>
      <c r="H377" s="653"/>
      <c r="I377" s="699">
        <f>472277869.77+60000000</f>
        <v>532277869.76999998</v>
      </c>
      <c r="J377" s="653"/>
      <c r="K377" s="653"/>
      <c r="L377" s="633"/>
      <c r="M377" s="186"/>
      <c r="N377" s="237"/>
    </row>
    <row r="378" spans="1:14" ht="12.95" thickBot="1">
      <c r="F378" s="232"/>
      <c r="G378" s="647"/>
      <c r="H378" s="647"/>
      <c r="I378" s="696"/>
      <c r="J378" s="647"/>
      <c r="K378" s="647"/>
      <c r="L378" s="230"/>
      <c r="M378" s="230"/>
      <c r="N378" s="231"/>
    </row>
    <row r="379" spans="1:14" ht="15.95" thickBot="1">
      <c r="F379" s="550" t="s">
        <v>383</v>
      </c>
      <c r="G379" s="653">
        <f>G374+G364+G352+G343+G327+G318+G302+G291+G281+G273+G266+G262+G255+G250+G245+G236+G227+G218+G208+G197+G192+G183+G178+G174+G170+G154+G142+G120+G103+G92+G88+G82+G77+G72+G66+G61+G56+G51+G47+G377</f>
        <v>94936696985.469986</v>
      </c>
      <c r="H379" s="653">
        <f>H375+H374+H364+H352+H327+H318+H291+H281+H273+H266+H262+H255+H250+H245+H236+H227+H218+H208+H197+H192+H183+H178+H174+H170+H154+H142+H120+H103+H92+H88+H82+H77+H72+H66+H61+H56+H51+H47</f>
        <v>65398700000</v>
      </c>
      <c r="I379" s="700">
        <f>I374+I364+I352+I327+I318+I302+I291+I281+I273+I266+I262+I255+I250+I245+I236+I227+I218+I208+I197+I192+I183+I178+I170+I154+I142+I120+I10776++I92+I174+I88+I82+I77+I72+I66+I61+I56+I51+I47+I103</f>
        <v>43228458949.438004</v>
      </c>
      <c r="J379" s="653">
        <f>J374+J364+J352+J327+J318+J302+J291+J281+J273+J266+J262+J255+J250+J245+J236+J227+J218+J208+J197+J192+J183+J178+J170+J154+J142+J120+J10776++J92+J174+J88+J82+J77+J72+J66+J61+J56+J51+J47</f>
        <v>65228522019.203339</v>
      </c>
      <c r="K379" s="653">
        <f>K374+K364+K352+K327+K318+K302+K291+K281+K273+K266+K262+K255+K250+K245+K236+K227+K218+K208+K197+K192+K183+K178+K170+K154+K142+K120+K10776++K92+K174+K88+K82+K77+K72+K66+K61+K56+K51+K47</f>
        <v>4421042239.5933313</v>
      </c>
      <c r="L379" s="633" t="e">
        <f>L374+L364+L352+#REF!+L327+L318+L302+L291+L281+L273+L266+L262+L255+L250+#REF!+L245+L236+L227+L218+L208+L197+L192+L183+L178+L170+L154+L142+L120+L10776++L92+L174+L88+L82+L77+L72+L66+L61+L56+L51+L47</f>
        <v>#REF!</v>
      </c>
      <c r="M379" s="186" t="e">
        <f>M374+M364+M352+#REF!+M327+M318+M302+M291+M281+M273+M266+M262+M255+M250+#REF!+M245+M236+M227+M218+M208+M197+M192+M183+M178+M170+M154+M142+M120+M10776++M92+M174+M88+M82+M77+M72+M66+M61+M56+M51+M47</f>
        <v>#REF!</v>
      </c>
      <c r="N379" s="186" t="e">
        <f>N374+N364+N352+#REF!+N327+N318+N302+N291+N281+N273+N266+N262+N255+N250+#REF!+N245+N236+N227+N218+N208+N197+N192+N183+N178+N170+N154+N142+N120+N10776++N92+N174+N88+N82+N77+N72+N66+N61+N56+N51+N47</f>
        <v>#REF!</v>
      </c>
    </row>
    <row r="380" spans="1:14" ht="15.95" thickBot="1">
      <c r="F380" s="551"/>
      <c r="G380" s="661"/>
      <c r="H380" s="681"/>
      <c r="I380" s="696"/>
      <c r="J380" s="681"/>
      <c r="K380" s="661"/>
      <c r="L380" s="230"/>
      <c r="M380" s="230"/>
      <c r="N380" s="231"/>
    </row>
    <row r="381" spans="1:14" ht="15.95" thickBot="1">
      <c r="F381" s="550" t="s">
        <v>384</v>
      </c>
      <c r="G381" s="653">
        <f t="shared" ref="G381:L381" si="56">G379+G42+G377</f>
        <v>723779128088.20642</v>
      </c>
      <c r="H381" s="653">
        <f t="shared" si="56"/>
        <v>736934798866.98999</v>
      </c>
      <c r="I381" s="700">
        <f t="shared" si="56"/>
        <v>545346508572.76807</v>
      </c>
      <c r="J381" s="653">
        <f t="shared" si="56"/>
        <v>889524330456.79333</v>
      </c>
      <c r="K381" s="653">
        <f t="shared" si="56"/>
        <v>157180751810.1933</v>
      </c>
      <c r="L381" s="633" t="e">
        <f t="shared" si="56"/>
        <v>#REF!</v>
      </c>
      <c r="M381" s="186" t="e">
        <f>M379+M42</f>
        <v>#REF!</v>
      </c>
      <c r="N381" s="237" t="e">
        <f>N379+N42</f>
        <v>#REF!</v>
      </c>
    </row>
    <row r="382" spans="1:14">
      <c r="F382" s="232"/>
      <c r="G382" s="651"/>
      <c r="H382" s="647" t="s">
        <v>18</v>
      </c>
      <c r="I382" s="696" t="s">
        <v>18</v>
      </c>
      <c r="J382" s="648" t="s">
        <v>18</v>
      </c>
      <c r="K382" s="647"/>
      <c r="L382" s="230"/>
      <c r="M382" s="230"/>
      <c r="N382" s="231"/>
    </row>
    <row r="383" spans="1:14" ht="12.95">
      <c r="F383" s="552" t="s">
        <v>44</v>
      </c>
      <c r="G383" s="651"/>
      <c r="H383" s="647"/>
      <c r="I383" s="696"/>
      <c r="J383" s="682"/>
      <c r="K383" s="647"/>
      <c r="L383" s="230"/>
      <c r="M383" s="230"/>
      <c r="N383" s="231"/>
    </row>
    <row r="384" spans="1:14" ht="12.95">
      <c r="F384" s="552" t="s">
        <v>385</v>
      </c>
      <c r="G384" s="651"/>
      <c r="H384" s="647"/>
      <c r="I384" s="696"/>
      <c r="J384" s="682"/>
      <c r="K384" s="647"/>
      <c r="L384" s="230"/>
      <c r="M384" s="230"/>
      <c r="N384" s="231"/>
    </row>
    <row r="385" spans="1:14" ht="12.95" thickBot="1">
      <c r="A385" s="493">
        <v>19047</v>
      </c>
      <c r="B385" s="514" t="s">
        <v>89</v>
      </c>
      <c r="C385" s="494">
        <v>31</v>
      </c>
      <c r="D385" s="514" t="s">
        <v>91</v>
      </c>
      <c r="E385" s="514" t="s">
        <v>91</v>
      </c>
      <c r="F385" s="232" t="s">
        <v>386</v>
      </c>
      <c r="G385" s="647"/>
      <c r="H385" s="647"/>
      <c r="I385" s="696"/>
      <c r="J385" s="648"/>
      <c r="K385" s="647">
        <f>J385-H385</f>
        <v>0</v>
      </c>
      <c r="L385" s="230"/>
      <c r="M385" s="230"/>
      <c r="N385" s="231"/>
    </row>
    <row r="386" spans="1:14" ht="13.5" thickBot="1">
      <c r="F386" s="521" t="s">
        <v>387</v>
      </c>
      <c r="G386" s="653"/>
      <c r="H386" s="653">
        <v>0</v>
      </c>
      <c r="I386" s="699">
        <f>SUM(I385)</f>
        <v>0</v>
      </c>
      <c r="J386" s="653">
        <f>SUM(J385)</f>
        <v>0</v>
      </c>
      <c r="K386" s="653">
        <f t="shared" ref="K386:N386" si="57">SUM(K385)</f>
        <v>0</v>
      </c>
      <c r="L386" s="633">
        <f t="shared" si="57"/>
        <v>0</v>
      </c>
      <c r="M386" s="186">
        <f t="shared" si="57"/>
        <v>0</v>
      </c>
      <c r="N386" s="237">
        <f t="shared" si="57"/>
        <v>0</v>
      </c>
    </row>
    <row r="387" spans="1:14">
      <c r="F387" s="232"/>
      <c r="G387" s="651"/>
      <c r="H387" s="647"/>
      <c r="I387" s="696"/>
      <c r="J387" s="647"/>
      <c r="K387" s="647"/>
      <c r="L387" s="230">
        <f>SUM(J387:J387)</f>
        <v>0</v>
      </c>
      <c r="M387" s="230" t="e">
        <f>#REF!-#REF!</f>
        <v>#REF!</v>
      </c>
      <c r="N387" s="231"/>
    </row>
    <row r="388" spans="1:14" ht="12.95">
      <c r="F388" s="513" t="s">
        <v>388</v>
      </c>
      <c r="G388" s="651"/>
      <c r="H388" s="647"/>
      <c r="I388" s="696"/>
      <c r="J388" s="647"/>
      <c r="K388" s="647"/>
      <c r="L388" s="230"/>
      <c r="M388" s="230"/>
      <c r="N388" s="231"/>
    </row>
    <row r="389" spans="1:14" ht="12.95" thickBot="1">
      <c r="A389" s="493">
        <v>20011</v>
      </c>
      <c r="B389" s="514" t="s">
        <v>89</v>
      </c>
      <c r="C389" s="494">
        <v>13</v>
      </c>
      <c r="D389" s="514" t="s">
        <v>94</v>
      </c>
      <c r="E389" s="494">
        <v>99</v>
      </c>
      <c r="F389" s="232" t="s">
        <v>389</v>
      </c>
      <c r="G389" s="656">
        <v>933288499.60000002</v>
      </c>
      <c r="H389" s="656">
        <v>1477000000</v>
      </c>
      <c r="I389" s="647">
        <f>164659863.5+161826003.08+1368955159.47+309880067.02+'SUMMARY SHEET AUGUST -DECEMBER'!H454+64651847.57</f>
        <v>2747383244.3500004</v>
      </c>
      <c r="J389" s="679">
        <v>168331256.81</v>
      </c>
      <c r="K389" s="647">
        <f>J389-H389</f>
        <v>-1308668743.1900001</v>
      </c>
      <c r="L389" s="230">
        <f>SUM(L385:L388)</f>
        <v>0</v>
      </c>
      <c r="M389" s="543" t="e">
        <f>SUM(M385:M388)</f>
        <v>#REF!</v>
      </c>
      <c r="N389" s="231"/>
    </row>
    <row r="390" spans="1:14" ht="13.5" thickBot="1">
      <c r="F390" s="521" t="s">
        <v>390</v>
      </c>
      <c r="G390" s="653">
        <f>G389</f>
        <v>933288499.60000002</v>
      </c>
      <c r="H390" s="653">
        <f>H389</f>
        <v>1477000000</v>
      </c>
      <c r="I390" s="700">
        <f>I389</f>
        <v>2747383244.3500004</v>
      </c>
      <c r="J390" s="653">
        <f>SUM(J389)</f>
        <v>168331256.81</v>
      </c>
      <c r="K390" s="653">
        <f t="shared" ref="K390:N390" si="58">SUM(K389)</f>
        <v>-1308668743.1900001</v>
      </c>
      <c r="L390" s="633">
        <f t="shared" si="58"/>
        <v>0</v>
      </c>
      <c r="M390" s="186" t="e">
        <f t="shared" si="58"/>
        <v>#REF!</v>
      </c>
      <c r="N390" s="237">
        <f t="shared" si="58"/>
        <v>0</v>
      </c>
    </row>
    <row r="391" spans="1:14">
      <c r="F391" s="232"/>
      <c r="G391" s="651"/>
      <c r="H391" s="647"/>
      <c r="I391" s="696"/>
      <c r="J391" s="648"/>
      <c r="K391" s="647"/>
      <c r="L391" s="230">
        <f>SUM(J391:J391)</f>
        <v>0</v>
      </c>
      <c r="M391" s="230" t="e">
        <f>#REF!-#REF!</f>
        <v>#REF!</v>
      </c>
      <c r="N391" s="231"/>
    </row>
    <row r="392" spans="1:14" ht="12.95">
      <c r="F392" s="513" t="s">
        <v>391</v>
      </c>
      <c r="G392" s="651"/>
      <c r="H392" s="647"/>
      <c r="I392" s="696"/>
      <c r="J392" s="678"/>
      <c r="K392" s="647">
        <f>J392-H392</f>
        <v>0</v>
      </c>
      <c r="L392" s="230">
        <f>SUM(J392:J392)</f>
        <v>0</v>
      </c>
      <c r="M392" s="230" t="e">
        <f>#REF!-#REF!</f>
        <v>#REF!</v>
      </c>
      <c r="N392" s="231"/>
    </row>
    <row r="393" spans="1:14">
      <c r="A393" s="493">
        <v>20000</v>
      </c>
      <c r="B393" s="514" t="s">
        <v>89</v>
      </c>
      <c r="C393" s="494">
        <v>13</v>
      </c>
      <c r="D393" s="514"/>
      <c r="F393" s="232" t="s">
        <v>392</v>
      </c>
      <c r="G393" s="647">
        <v>167298604.72999999</v>
      </c>
      <c r="H393" s="647">
        <v>17800000000</v>
      </c>
      <c r="I393" s="696"/>
      <c r="J393" s="648"/>
      <c r="K393" s="647">
        <f>J393-H393</f>
        <v>-17800000000</v>
      </c>
      <c r="L393" s="230"/>
      <c r="M393" s="230"/>
      <c r="N393" s="231"/>
    </row>
    <row r="394" spans="1:14">
      <c r="A394" s="493">
        <v>20000</v>
      </c>
      <c r="B394" s="514" t="s">
        <v>89</v>
      </c>
      <c r="C394" s="494">
        <v>13</v>
      </c>
      <c r="D394" s="514"/>
      <c r="F394" s="232" t="s">
        <v>393</v>
      </c>
      <c r="G394" s="647">
        <v>2548243982.3299999</v>
      </c>
      <c r="H394" s="647">
        <v>600000000</v>
      </c>
      <c r="I394" s="696">
        <f>10512251.86+541673182.72</f>
        <v>552185434.58000004</v>
      </c>
      <c r="J394" s="677">
        <v>15826200000</v>
      </c>
      <c r="K394" s="647">
        <f>J394-H394</f>
        <v>15226200000</v>
      </c>
      <c r="L394" s="230"/>
      <c r="M394" s="230"/>
      <c r="N394" s="231"/>
    </row>
    <row r="395" spans="1:14" ht="12.95" thickBot="1">
      <c r="A395" s="493">
        <v>20000</v>
      </c>
      <c r="B395" s="514" t="s">
        <v>89</v>
      </c>
      <c r="C395" s="494">
        <v>13</v>
      </c>
      <c r="D395" s="514"/>
      <c r="F395" s="232" t="s">
        <v>394</v>
      </c>
      <c r="G395" s="647"/>
      <c r="H395" s="647">
        <v>14114600000</v>
      </c>
      <c r="I395" s="696"/>
      <c r="J395" s="648"/>
      <c r="K395" s="647">
        <f>J395-H395</f>
        <v>-14114600000</v>
      </c>
      <c r="L395" s="230"/>
      <c r="M395" s="230"/>
      <c r="N395" s="231"/>
    </row>
    <row r="396" spans="1:14" ht="13.5" thickBot="1">
      <c r="F396" s="521" t="s">
        <v>395</v>
      </c>
      <c r="G396" s="653">
        <f>SUM(G394)</f>
        <v>2548243982.3299999</v>
      </c>
      <c r="H396" s="653">
        <f>SUM(H393:H395)</f>
        <v>32514600000</v>
      </c>
      <c r="I396" s="700">
        <f>SUM(I394)</f>
        <v>552185434.58000004</v>
      </c>
      <c r="J396" s="653">
        <f>SUM(J393:J395)</f>
        <v>15826200000</v>
      </c>
      <c r="K396" s="653">
        <f t="shared" ref="K396:N396" si="59">SUM(K393:K395)</f>
        <v>-16688400000</v>
      </c>
      <c r="L396" s="633">
        <f t="shared" si="59"/>
        <v>0</v>
      </c>
      <c r="M396" s="186">
        <f t="shared" si="59"/>
        <v>0</v>
      </c>
      <c r="N396" s="237">
        <f t="shared" si="59"/>
        <v>0</v>
      </c>
    </row>
    <row r="397" spans="1:14" ht="12.95" thickBot="1">
      <c r="F397" s="232"/>
      <c r="G397" s="651"/>
      <c r="H397" s="647" t="s">
        <v>18</v>
      </c>
      <c r="I397" s="696"/>
      <c r="J397" s="647" t="s">
        <v>18</v>
      </c>
      <c r="K397" s="647"/>
      <c r="L397" s="230"/>
      <c r="M397" s="230"/>
      <c r="N397" s="231"/>
    </row>
    <row r="398" spans="1:14" ht="13.5" thickBot="1">
      <c r="F398" s="521" t="s">
        <v>396</v>
      </c>
      <c r="G398" s="653">
        <f>G386+G390+G396</f>
        <v>3481532481.9299998</v>
      </c>
      <c r="H398" s="653">
        <f>H386+H390+H396</f>
        <v>33991600000</v>
      </c>
      <c r="I398" s="700">
        <f>I386+I390+I396</f>
        <v>3299568678.9300003</v>
      </c>
      <c r="J398" s="653">
        <f>J386+J390+J396</f>
        <v>15994531256.809999</v>
      </c>
      <c r="K398" s="653">
        <f>K386+K390+K396</f>
        <v>-17997068743.189999</v>
      </c>
      <c r="L398" s="633">
        <f>L396+L390+L386</f>
        <v>0</v>
      </c>
      <c r="M398" s="186" t="e">
        <f>M396+M390+M386</f>
        <v>#REF!</v>
      </c>
      <c r="N398" s="237">
        <f>N396+N390+N386</f>
        <v>0</v>
      </c>
    </row>
    <row r="399" spans="1:14">
      <c r="F399" s="232"/>
      <c r="G399" s="664"/>
      <c r="H399" s="647"/>
      <c r="I399" s="696"/>
      <c r="J399" s="648"/>
      <c r="K399" s="647"/>
      <c r="L399" s="230"/>
      <c r="M399" s="230"/>
      <c r="N399" s="231"/>
    </row>
    <row r="400" spans="1:14" ht="12.95">
      <c r="F400" s="513" t="s">
        <v>51</v>
      </c>
      <c r="G400" s="651"/>
      <c r="H400" s="647"/>
      <c r="I400" s="696"/>
      <c r="J400" s="678"/>
      <c r="K400" s="647"/>
      <c r="L400" s="230"/>
      <c r="M400" s="230"/>
      <c r="N400" s="231"/>
    </row>
    <row r="401" spans="1:14" ht="26.1">
      <c r="F401" s="513" t="s">
        <v>53</v>
      </c>
      <c r="G401" s="651"/>
      <c r="H401" s="647"/>
      <c r="I401" s="696"/>
      <c r="J401" s="678"/>
      <c r="K401" s="647"/>
      <c r="L401" s="230"/>
      <c r="M401" s="230"/>
      <c r="N401" s="231"/>
    </row>
    <row r="402" spans="1:14" s="722" customFormat="1">
      <c r="A402" s="716">
        <v>20000</v>
      </c>
      <c r="B402" s="723" t="s">
        <v>89</v>
      </c>
      <c r="C402" s="506">
        <v>13</v>
      </c>
      <c r="D402" s="723" t="s">
        <v>100</v>
      </c>
      <c r="E402" s="723" t="s">
        <v>91</v>
      </c>
      <c r="F402" s="671" t="s">
        <v>397</v>
      </c>
      <c r="G402" s="717">
        <v>135700000</v>
      </c>
      <c r="H402" s="718">
        <v>4908300000</v>
      </c>
      <c r="I402" s="719"/>
      <c r="J402" s="735">
        <v>1283400000</v>
      </c>
      <c r="K402" s="718">
        <f>J402-H402</f>
        <v>-3624900000</v>
      </c>
      <c r="L402" s="720"/>
      <c r="M402" s="720"/>
      <c r="N402" s="721"/>
    </row>
    <row r="403" spans="1:14" s="722" customFormat="1" ht="24.95">
      <c r="A403" s="716">
        <v>20000</v>
      </c>
      <c r="B403" s="723" t="s">
        <v>89</v>
      </c>
      <c r="C403" s="506">
        <v>13</v>
      </c>
      <c r="D403" s="723" t="s">
        <v>100</v>
      </c>
      <c r="E403" s="723" t="s">
        <v>94</v>
      </c>
      <c r="F403" s="671" t="s">
        <v>398</v>
      </c>
      <c r="G403" s="717"/>
      <c r="H403" s="718"/>
      <c r="I403" s="719"/>
      <c r="J403" s="735"/>
      <c r="K403" s="718">
        <f>J403-H403</f>
        <v>0</v>
      </c>
      <c r="L403" s="720"/>
      <c r="M403" s="720"/>
      <c r="N403" s="721"/>
    </row>
    <row r="404" spans="1:14" ht="12.95" thickBot="1">
      <c r="A404" s="493">
        <v>20000</v>
      </c>
      <c r="B404" s="514" t="s">
        <v>89</v>
      </c>
      <c r="C404" s="494">
        <v>13</v>
      </c>
      <c r="D404" s="514" t="s">
        <v>100</v>
      </c>
      <c r="E404" s="494">
        <v>99</v>
      </c>
      <c r="F404" s="232" t="s">
        <v>399</v>
      </c>
      <c r="G404" s="647"/>
      <c r="H404" s="647"/>
      <c r="I404" s="696">
        <f>58160284.2</f>
        <v>58160284.200000003</v>
      </c>
      <c r="J404" s="648"/>
      <c r="K404" s="647">
        <f>J404-H404</f>
        <v>0</v>
      </c>
      <c r="L404" s="230">
        <f>SUM(J404:J404)</f>
        <v>0</v>
      </c>
      <c r="M404" s="230" t="e">
        <f>#REF!-#REF!</f>
        <v>#REF!</v>
      </c>
      <c r="N404" s="231"/>
    </row>
    <row r="405" spans="1:14" ht="26.45" thickBot="1">
      <c r="F405" s="521" t="s">
        <v>400</v>
      </c>
      <c r="G405" s="653">
        <f>SUM(G401:G404)</f>
        <v>135700000</v>
      </c>
      <c r="H405" s="653">
        <f>SUM(H401:H404)</f>
        <v>4908300000</v>
      </c>
      <c r="I405" s="700">
        <f>SUM(I401:I404)</f>
        <v>58160284.200000003</v>
      </c>
      <c r="J405" s="653">
        <f>SUM(J402:J404)</f>
        <v>1283400000</v>
      </c>
      <c r="K405" s="653">
        <f t="shared" ref="K405:N405" si="60">SUM(K404)</f>
        <v>0</v>
      </c>
      <c r="L405" s="633">
        <f t="shared" si="60"/>
        <v>0</v>
      </c>
      <c r="M405" s="186" t="e">
        <f t="shared" si="60"/>
        <v>#REF!</v>
      </c>
      <c r="N405" s="237">
        <f t="shared" si="60"/>
        <v>0</v>
      </c>
    </row>
    <row r="406" spans="1:14" ht="12.95">
      <c r="F406" s="513"/>
      <c r="G406" s="652"/>
      <c r="H406" s="661"/>
      <c r="I406" s="696"/>
      <c r="J406" s="678"/>
      <c r="K406" s="661"/>
      <c r="L406" s="230"/>
      <c r="M406" s="230"/>
      <c r="N406" s="230"/>
    </row>
    <row r="407" spans="1:14" ht="12.95">
      <c r="F407" s="513" t="s">
        <v>58</v>
      </c>
      <c r="G407" s="652"/>
      <c r="H407" s="661"/>
      <c r="I407" s="696"/>
      <c r="J407" s="678"/>
      <c r="K407" s="661"/>
      <c r="L407" s="230"/>
      <c r="M407" s="230"/>
      <c r="N407" s="230"/>
    </row>
    <row r="408" spans="1:14" ht="12.95">
      <c r="F408" s="513" t="s">
        <v>401</v>
      </c>
      <c r="G408" s="647">
        <v>730862725</v>
      </c>
      <c r="H408" s="647"/>
      <c r="I408" s="696">
        <f>642000+16299000+181000+'SUMMARY SHEET AUGUST -DECEMBER'!H473</f>
        <v>1001157094.8</v>
      </c>
      <c r="J408" s="678"/>
      <c r="K408" s="661"/>
      <c r="L408" s="230"/>
      <c r="M408" s="230"/>
      <c r="N408" s="230"/>
    </row>
    <row r="409" spans="1:14" ht="12.95">
      <c r="F409" s="513" t="s">
        <v>402</v>
      </c>
      <c r="G409" s="661">
        <v>8846611007.6000004</v>
      </c>
      <c r="H409" s="661">
        <v>6459981000</v>
      </c>
      <c r="I409" s="696">
        <f>77500000</f>
        <v>77500000</v>
      </c>
      <c r="J409" s="678"/>
      <c r="K409" s="647">
        <f>J409-H409</f>
        <v>-6459981000</v>
      </c>
      <c r="L409" s="230"/>
      <c r="M409" s="230"/>
      <c r="N409" s="230"/>
    </row>
    <row r="410" spans="1:14" ht="12.95" thickBot="1">
      <c r="F410" s="232" t="s">
        <v>403</v>
      </c>
      <c r="G410" s="647"/>
      <c r="H410" s="647"/>
      <c r="I410" s="696">
        <f>317543000+63976000+96514000+129785000+'SUMMARY SHEET AUGUST -DECEMBER'!H475</f>
        <v>2958070984.8699999</v>
      </c>
      <c r="J410" s="677">
        <v>6591107000</v>
      </c>
      <c r="K410" s="647">
        <f>J410-H410</f>
        <v>6591107000</v>
      </c>
      <c r="L410" s="230"/>
      <c r="M410" s="230"/>
      <c r="N410" s="231"/>
    </row>
    <row r="411" spans="1:14" ht="13.5" thickBot="1">
      <c r="F411" s="521" t="s">
        <v>404</v>
      </c>
      <c r="G411" s="653">
        <f>G409+G408</f>
        <v>9577473732.6000004</v>
      </c>
      <c r="H411" s="653">
        <f t="shared" ref="H411:N411" si="61">SUM(H408:H410)</f>
        <v>6459981000</v>
      </c>
      <c r="I411" s="700">
        <f t="shared" si="61"/>
        <v>4036728079.6700001</v>
      </c>
      <c r="J411" s="653">
        <f t="shared" si="61"/>
        <v>6591107000</v>
      </c>
      <c r="K411" s="653">
        <f t="shared" si="61"/>
        <v>131126000</v>
      </c>
      <c r="L411" s="633">
        <f t="shared" si="61"/>
        <v>0</v>
      </c>
      <c r="M411" s="186">
        <f t="shared" si="61"/>
        <v>0</v>
      </c>
      <c r="N411" s="237">
        <f t="shared" si="61"/>
        <v>0</v>
      </c>
    </row>
    <row r="412" spans="1:14" ht="12.95" thickBot="1">
      <c r="F412" s="232"/>
      <c r="G412" s="651"/>
      <c r="H412" s="647" t="s">
        <v>18</v>
      </c>
      <c r="I412" s="696"/>
      <c r="J412" s="647" t="s">
        <v>18</v>
      </c>
      <c r="K412" s="647"/>
      <c r="L412" s="230"/>
      <c r="M412" s="230"/>
      <c r="N412" s="231"/>
    </row>
    <row r="413" spans="1:14" ht="13.5" thickBot="1">
      <c r="F413" s="521" t="s">
        <v>62</v>
      </c>
      <c r="G413" s="653">
        <f t="shared" ref="G413:N413" si="62">G411+G405</f>
        <v>9713173732.6000004</v>
      </c>
      <c r="H413" s="653">
        <f t="shared" si="62"/>
        <v>11368281000</v>
      </c>
      <c r="I413" s="700">
        <f t="shared" si="62"/>
        <v>4094888363.8699999</v>
      </c>
      <c r="J413" s="653">
        <f t="shared" si="62"/>
        <v>7874507000</v>
      </c>
      <c r="K413" s="653">
        <f t="shared" si="62"/>
        <v>131126000</v>
      </c>
      <c r="L413" s="633">
        <f t="shared" si="62"/>
        <v>0</v>
      </c>
      <c r="M413" s="186" t="e">
        <f t="shared" si="62"/>
        <v>#REF!</v>
      </c>
      <c r="N413" s="237">
        <f t="shared" si="62"/>
        <v>0</v>
      </c>
    </row>
    <row r="414" spans="1:14">
      <c r="F414" s="232"/>
      <c r="G414" s="651"/>
      <c r="H414" s="647"/>
      <c r="I414" s="696"/>
      <c r="J414" s="648"/>
      <c r="K414" s="647"/>
      <c r="L414" s="230"/>
      <c r="M414" s="230"/>
      <c r="N414" s="231"/>
    </row>
    <row r="415" spans="1:14" ht="12.95">
      <c r="F415" s="513" t="s">
        <v>405</v>
      </c>
      <c r="G415" s="651"/>
      <c r="H415" s="647"/>
      <c r="I415" s="696"/>
      <c r="J415" s="678"/>
      <c r="K415" s="647"/>
      <c r="L415" s="230"/>
      <c r="M415" s="230"/>
      <c r="N415" s="231"/>
    </row>
    <row r="416" spans="1:14">
      <c r="F416" s="232"/>
      <c r="G416" s="651"/>
      <c r="H416" s="647"/>
      <c r="I416" s="696"/>
      <c r="J416" s="648"/>
      <c r="K416" s="647"/>
      <c r="L416" s="230"/>
      <c r="M416" s="230"/>
      <c r="N416" s="231"/>
    </row>
    <row r="417" spans="1:14" ht="12.95">
      <c r="F417" s="513" t="s">
        <v>406</v>
      </c>
      <c r="G417" s="651"/>
      <c r="H417" s="647"/>
      <c r="I417" s="696"/>
      <c r="J417" s="678"/>
      <c r="K417" s="647"/>
      <c r="L417" s="230"/>
      <c r="M417" s="230"/>
      <c r="N417" s="231"/>
    </row>
    <row r="418" spans="1:14" ht="12.95">
      <c r="F418" s="513" t="s">
        <v>407</v>
      </c>
      <c r="G418" s="651"/>
      <c r="H418" s="647"/>
      <c r="I418" s="696"/>
      <c r="J418" s="678"/>
      <c r="K418" s="647"/>
      <c r="L418" s="230"/>
      <c r="M418" s="230"/>
      <c r="N418" s="231"/>
    </row>
    <row r="419" spans="1:14">
      <c r="A419" s="493">
        <v>2018</v>
      </c>
      <c r="B419" s="514" t="s">
        <v>89</v>
      </c>
      <c r="C419" s="494">
        <v>51</v>
      </c>
      <c r="D419" s="514" t="s">
        <v>94</v>
      </c>
      <c r="E419" s="514" t="s">
        <v>91</v>
      </c>
      <c r="F419" s="232" t="s">
        <v>408</v>
      </c>
      <c r="G419" s="651"/>
      <c r="H419" s="647"/>
      <c r="I419" s="696"/>
      <c r="J419" s="648"/>
      <c r="K419" s="647">
        <f t="shared" ref="K419:K431" si="63">J419-H419</f>
        <v>0</v>
      </c>
      <c r="L419" s="230">
        <f>SUM(L404:L405)</f>
        <v>0</v>
      </c>
      <c r="M419" s="230" t="e">
        <f>M404</f>
        <v>#REF!</v>
      </c>
      <c r="N419" s="231"/>
    </row>
    <row r="420" spans="1:14">
      <c r="A420" s="493">
        <v>2018</v>
      </c>
      <c r="B420" s="514" t="s">
        <v>89</v>
      </c>
      <c r="C420" s="494">
        <v>51</v>
      </c>
      <c r="D420" s="514" t="s">
        <v>94</v>
      </c>
      <c r="E420" s="514" t="s">
        <v>94</v>
      </c>
      <c r="F420" s="232" t="s">
        <v>409</v>
      </c>
      <c r="G420" s="647">
        <v>15316736740.719999</v>
      </c>
      <c r="H420" s="647">
        <v>4715400000</v>
      </c>
      <c r="I420" s="696">
        <f>353018000+730000+43912000+58415000+'SUMMARY SHEET AUGUST -DECEMBER'!H485</f>
        <v>656918000</v>
      </c>
      <c r="J420" s="648"/>
      <c r="K420" s="647"/>
      <c r="L420" s="230"/>
      <c r="M420" s="230"/>
      <c r="N420" s="231"/>
    </row>
    <row r="421" spans="1:14">
      <c r="A421" s="493">
        <v>2018</v>
      </c>
      <c r="B421" s="514" t="s">
        <v>89</v>
      </c>
      <c r="C421" s="494">
        <v>51</v>
      </c>
      <c r="D421" s="514" t="s">
        <v>94</v>
      </c>
      <c r="E421" s="514" t="s">
        <v>100</v>
      </c>
      <c r="F421" s="232" t="s">
        <v>410</v>
      </c>
      <c r="G421" s="647">
        <v>0</v>
      </c>
      <c r="H421" s="647"/>
      <c r="I421" s="696"/>
      <c r="J421" s="648"/>
      <c r="K421" s="647">
        <f t="shared" si="63"/>
        <v>0</v>
      </c>
      <c r="L421" s="230"/>
      <c r="M421" s="230"/>
      <c r="N421" s="231"/>
    </row>
    <row r="422" spans="1:14">
      <c r="A422" s="493">
        <v>2018</v>
      </c>
      <c r="B422" s="514" t="s">
        <v>89</v>
      </c>
      <c r="C422" s="494">
        <v>51</v>
      </c>
      <c r="D422" s="514" t="s">
        <v>94</v>
      </c>
      <c r="E422" s="514" t="s">
        <v>102</v>
      </c>
      <c r="F422" s="232" t="s">
        <v>411</v>
      </c>
      <c r="G422" s="647">
        <v>0</v>
      </c>
      <c r="H422" s="647"/>
      <c r="I422" s="696"/>
      <c r="J422" s="648"/>
      <c r="K422" s="647">
        <f t="shared" si="63"/>
        <v>0</v>
      </c>
      <c r="L422" s="230"/>
      <c r="M422" s="230"/>
      <c r="N422" s="231"/>
    </row>
    <row r="423" spans="1:14">
      <c r="A423" s="493">
        <v>2018</v>
      </c>
      <c r="B423" s="514" t="s">
        <v>89</v>
      </c>
      <c r="C423" s="494">
        <v>51</v>
      </c>
      <c r="D423" s="514" t="s">
        <v>94</v>
      </c>
      <c r="E423" s="534" t="s">
        <v>104</v>
      </c>
      <c r="F423" s="232" t="s">
        <v>401</v>
      </c>
      <c r="G423" s="647"/>
      <c r="H423" s="647"/>
      <c r="I423" s="696"/>
      <c r="J423" s="648"/>
      <c r="K423" s="647"/>
      <c r="L423" s="230"/>
      <c r="M423" s="230"/>
      <c r="N423" s="231"/>
    </row>
    <row r="424" spans="1:14">
      <c r="A424" s="493">
        <v>2018</v>
      </c>
      <c r="B424" s="514" t="s">
        <v>89</v>
      </c>
      <c r="C424" s="494">
        <v>51</v>
      </c>
      <c r="D424" s="514" t="s">
        <v>94</v>
      </c>
      <c r="E424" s="514" t="s">
        <v>155</v>
      </c>
      <c r="F424" s="232" t="s">
        <v>412</v>
      </c>
      <c r="G424" s="647">
        <v>5265521000</v>
      </c>
      <c r="H424" s="647"/>
      <c r="I424" s="696">
        <f>15754000+166560000+122352000+944504000+'SUMMARY SHEET AUGUST -DECEMBER'!H489</f>
        <v>3071790000</v>
      </c>
      <c r="J424" s="648"/>
      <c r="K424" s="647">
        <f t="shared" si="63"/>
        <v>0</v>
      </c>
      <c r="L424" s="230">
        <f>SUM(J424:J424)</f>
        <v>0</v>
      </c>
      <c r="M424" s="230" t="e">
        <f>#REF!-#REF!</f>
        <v>#REF!</v>
      </c>
      <c r="N424" s="231"/>
    </row>
    <row r="425" spans="1:14">
      <c r="A425" s="493">
        <v>2018</v>
      </c>
      <c r="B425" s="514" t="s">
        <v>89</v>
      </c>
      <c r="C425" s="494">
        <v>51</v>
      </c>
      <c r="D425" s="514" t="s">
        <v>94</v>
      </c>
      <c r="E425" s="494">
        <v>10</v>
      </c>
      <c r="F425" s="232" t="s">
        <v>413</v>
      </c>
      <c r="G425" s="647">
        <v>0</v>
      </c>
      <c r="H425" s="647"/>
      <c r="I425" s="696"/>
      <c r="J425" s="648"/>
      <c r="K425" s="647">
        <f t="shared" si="63"/>
        <v>0</v>
      </c>
      <c r="L425" s="230"/>
      <c r="M425" s="230"/>
      <c r="N425" s="231"/>
    </row>
    <row r="426" spans="1:14">
      <c r="A426" s="493">
        <v>2018</v>
      </c>
      <c r="B426" s="514" t="s">
        <v>89</v>
      </c>
      <c r="C426" s="494">
        <v>51</v>
      </c>
      <c r="D426" s="514" t="s">
        <v>94</v>
      </c>
      <c r="E426" s="514" t="s">
        <v>202</v>
      </c>
      <c r="F426" s="232" t="s">
        <v>414</v>
      </c>
      <c r="G426" s="647"/>
      <c r="H426" s="647"/>
      <c r="I426" s="696"/>
      <c r="J426" s="648"/>
      <c r="K426" s="647"/>
      <c r="L426" s="230"/>
      <c r="M426" s="230"/>
      <c r="N426" s="231"/>
    </row>
    <row r="427" spans="1:14">
      <c r="A427" s="493">
        <v>2018</v>
      </c>
      <c r="B427" s="514" t="s">
        <v>89</v>
      </c>
      <c r="C427" s="494">
        <v>51</v>
      </c>
      <c r="D427" s="514" t="s">
        <v>94</v>
      </c>
      <c r="E427" s="514" t="s">
        <v>111</v>
      </c>
      <c r="F427" s="232" t="s">
        <v>415</v>
      </c>
      <c r="G427" s="647">
        <v>0</v>
      </c>
      <c r="H427" s="647"/>
      <c r="I427" s="696"/>
      <c r="J427" s="648"/>
      <c r="K427" s="647">
        <f t="shared" si="63"/>
        <v>0</v>
      </c>
      <c r="L427" s="230"/>
      <c r="M427" s="230"/>
      <c r="N427" s="231"/>
    </row>
    <row r="428" spans="1:14">
      <c r="A428" s="493">
        <v>2018</v>
      </c>
      <c r="B428" s="514" t="s">
        <v>89</v>
      </c>
      <c r="C428" s="494">
        <v>51</v>
      </c>
      <c r="D428" s="514" t="s">
        <v>94</v>
      </c>
      <c r="E428" s="494">
        <v>11</v>
      </c>
      <c r="F428" s="232" t="s">
        <v>416</v>
      </c>
      <c r="G428" s="647">
        <v>0</v>
      </c>
      <c r="H428" s="647"/>
      <c r="I428" s="696"/>
      <c r="J428" s="648"/>
      <c r="K428" s="647">
        <f t="shared" si="63"/>
        <v>0</v>
      </c>
      <c r="L428" s="230">
        <f>SUM(J428:J428)</f>
        <v>0</v>
      </c>
      <c r="M428" s="230">
        <f>M426+M425</f>
        <v>0</v>
      </c>
      <c r="N428" s="231"/>
    </row>
    <row r="429" spans="1:14">
      <c r="A429" s="493">
        <v>2018</v>
      </c>
      <c r="B429" s="514" t="s">
        <v>89</v>
      </c>
      <c r="C429" s="494">
        <v>51</v>
      </c>
      <c r="D429" s="514" t="s">
        <v>94</v>
      </c>
      <c r="E429" s="514" t="s">
        <v>110</v>
      </c>
      <c r="F429" s="232" t="s">
        <v>417</v>
      </c>
      <c r="G429" s="647">
        <v>24975044325</v>
      </c>
      <c r="H429" s="647"/>
      <c r="I429" s="696"/>
      <c r="J429" s="677">
        <v>60330794766.18</v>
      </c>
      <c r="K429" s="647">
        <f t="shared" si="63"/>
        <v>60330794766.18</v>
      </c>
      <c r="L429" s="230"/>
      <c r="M429" s="230"/>
      <c r="N429" s="231"/>
    </row>
    <row r="430" spans="1:14">
      <c r="A430" s="493">
        <v>2018</v>
      </c>
      <c r="B430" s="514" t="s">
        <v>89</v>
      </c>
      <c r="C430" s="494">
        <v>51</v>
      </c>
      <c r="D430" s="514" t="s">
        <v>94</v>
      </c>
      <c r="E430" s="514" t="s">
        <v>91</v>
      </c>
      <c r="F430" s="232" t="s">
        <v>418</v>
      </c>
      <c r="G430" s="647">
        <v>10558950864.5</v>
      </c>
      <c r="H430" s="647"/>
      <c r="I430" s="696">
        <f>361471000+'SUMMARY SHEET AUGUST -DECEMBER'!H495</f>
        <v>752770000</v>
      </c>
      <c r="J430" s="648"/>
      <c r="K430" s="647">
        <f t="shared" si="63"/>
        <v>0</v>
      </c>
      <c r="L430" s="230"/>
      <c r="M430" s="230"/>
      <c r="N430" s="231"/>
    </row>
    <row r="431" spans="1:14" s="556" customFormat="1" ht="12.95" thickBot="1">
      <c r="A431" s="493">
        <v>2018</v>
      </c>
      <c r="B431" s="514" t="s">
        <v>89</v>
      </c>
      <c r="C431" s="494">
        <v>51</v>
      </c>
      <c r="D431" s="553" t="s">
        <v>100</v>
      </c>
      <c r="E431" s="554">
        <v>99</v>
      </c>
      <c r="F431" s="232" t="s">
        <v>56</v>
      </c>
      <c r="G431" s="647">
        <v>425986000</v>
      </c>
      <c r="H431" s="647">
        <v>27367100000</v>
      </c>
      <c r="I431" s="696">
        <f>77396000+'SUMMARY SHEET AUGUST -DECEMBER'!H496</f>
        <v>260350000</v>
      </c>
      <c r="J431" s="648"/>
      <c r="K431" s="647">
        <f t="shared" si="63"/>
        <v>-27367100000</v>
      </c>
      <c r="L431" s="230"/>
      <c r="M431" s="230"/>
      <c r="N431" s="555"/>
    </row>
    <row r="432" spans="1:14" s="556" customFormat="1" ht="13.5" thickBot="1">
      <c r="A432" s="493"/>
      <c r="B432" s="514"/>
      <c r="C432" s="554"/>
      <c r="D432" s="554"/>
      <c r="E432" s="554"/>
      <c r="F432" s="521" t="s">
        <v>419</v>
      </c>
      <c r="G432" s="653">
        <f>SUM(G414:G431)</f>
        <v>56542238930.220001</v>
      </c>
      <c r="H432" s="653">
        <f>SUM(H414:H431)</f>
        <v>32082500000</v>
      </c>
      <c r="I432" s="700">
        <f>SUM(I414:I431)</f>
        <v>4741828000</v>
      </c>
      <c r="J432" s="653">
        <f t="shared" ref="J432:N432" si="64">SUM(J419:J431)</f>
        <v>60330794766.18</v>
      </c>
      <c r="K432" s="653">
        <f t="shared" si="64"/>
        <v>32963694766.18</v>
      </c>
      <c r="L432" s="633">
        <f t="shared" si="64"/>
        <v>0</v>
      </c>
      <c r="M432" s="186" t="e">
        <f t="shared" si="64"/>
        <v>#REF!</v>
      </c>
      <c r="N432" s="237">
        <f t="shared" si="64"/>
        <v>0</v>
      </c>
    </row>
    <row r="433" spans="1:14" s="556" customFormat="1">
      <c r="A433" s="493"/>
      <c r="B433" s="514"/>
      <c r="C433" s="554"/>
      <c r="D433" s="554"/>
      <c r="E433" s="554"/>
      <c r="F433" s="232"/>
      <c r="G433" s="651"/>
      <c r="H433" s="647"/>
      <c r="I433" s="696"/>
      <c r="J433" s="648"/>
      <c r="K433" s="647"/>
      <c r="L433" s="230"/>
      <c r="M433" s="230"/>
      <c r="N433" s="555"/>
    </row>
    <row r="434" spans="1:14" s="556" customFormat="1" ht="12.95">
      <c r="A434" s="493"/>
      <c r="B434" s="514"/>
      <c r="C434" s="554"/>
      <c r="D434" s="554"/>
      <c r="E434" s="554"/>
      <c r="F434" s="513" t="s">
        <v>420</v>
      </c>
      <c r="G434" s="651"/>
      <c r="H434" s="647"/>
      <c r="I434" s="696"/>
      <c r="J434" s="678"/>
      <c r="K434" s="647"/>
      <c r="L434" s="230"/>
      <c r="M434" s="230"/>
      <c r="N434" s="555"/>
    </row>
    <row r="435" spans="1:14">
      <c r="A435" s="493">
        <v>2018</v>
      </c>
      <c r="B435" s="514" t="s">
        <v>89</v>
      </c>
      <c r="C435" s="494">
        <v>51</v>
      </c>
      <c r="D435" s="514" t="s">
        <v>100</v>
      </c>
      <c r="E435" s="514" t="s">
        <v>91</v>
      </c>
      <c r="F435" s="232" t="s">
        <v>421</v>
      </c>
      <c r="G435" s="647">
        <v>16450503000</v>
      </c>
      <c r="H435" s="647"/>
      <c r="I435" s="696">
        <f>2536047000+'SUMMARY SHEET AUGUST -DECEMBER'!H500</f>
        <v>9363298000</v>
      </c>
      <c r="J435" s="648"/>
      <c r="K435" s="647"/>
      <c r="L435" s="230"/>
      <c r="M435" s="230"/>
      <c r="N435" s="231"/>
    </row>
    <row r="436" spans="1:14">
      <c r="A436" s="493">
        <v>2018</v>
      </c>
      <c r="B436" s="514" t="s">
        <v>89</v>
      </c>
      <c r="C436" s="494">
        <v>51</v>
      </c>
      <c r="D436" s="514" t="s">
        <v>100</v>
      </c>
      <c r="E436" s="514" t="s">
        <v>94</v>
      </c>
      <c r="F436" s="232" t="s">
        <v>422</v>
      </c>
      <c r="G436" s="647">
        <v>0</v>
      </c>
      <c r="H436" s="647"/>
      <c r="I436" s="696"/>
      <c r="J436" s="648"/>
      <c r="K436" s="647"/>
      <c r="L436" s="230"/>
      <c r="M436" s="230"/>
      <c r="N436" s="231"/>
    </row>
    <row r="437" spans="1:14">
      <c r="A437" s="493">
        <v>2018</v>
      </c>
      <c r="B437" s="514" t="s">
        <v>89</v>
      </c>
      <c r="C437" s="494">
        <v>51</v>
      </c>
      <c r="D437" s="514" t="s">
        <v>100</v>
      </c>
      <c r="E437" s="494">
        <v>11</v>
      </c>
      <c r="F437" s="232" t="s">
        <v>423</v>
      </c>
      <c r="G437" s="647">
        <v>0</v>
      </c>
      <c r="H437" s="647"/>
      <c r="I437" s="696"/>
      <c r="J437" s="648"/>
      <c r="K437" s="647"/>
      <c r="L437" s="230"/>
      <c r="M437" s="230"/>
      <c r="N437" s="231"/>
    </row>
    <row r="438" spans="1:14">
      <c r="A438" s="493">
        <v>2018</v>
      </c>
      <c r="B438" s="514" t="s">
        <v>89</v>
      </c>
      <c r="C438" s="494">
        <v>51</v>
      </c>
      <c r="D438" s="514" t="s">
        <v>100</v>
      </c>
      <c r="E438" s="494">
        <v>10</v>
      </c>
      <c r="F438" s="232" t="s">
        <v>424</v>
      </c>
      <c r="G438" s="647">
        <v>0</v>
      </c>
      <c r="H438" s="647"/>
      <c r="I438" s="696"/>
      <c r="J438" s="648"/>
      <c r="K438" s="647"/>
      <c r="L438" s="230">
        <f>SUM(L436:L437)</f>
        <v>0</v>
      </c>
      <c r="M438" s="557">
        <f>+M436</f>
        <v>0</v>
      </c>
      <c r="N438" s="231"/>
    </row>
    <row r="439" spans="1:14">
      <c r="A439" s="493">
        <v>2018</v>
      </c>
      <c r="B439" s="514" t="s">
        <v>89</v>
      </c>
      <c r="C439" s="494">
        <v>51</v>
      </c>
      <c r="D439" s="514" t="s">
        <v>100</v>
      </c>
      <c r="E439" s="494">
        <v>12</v>
      </c>
      <c r="F439" s="232" t="s">
        <v>425</v>
      </c>
      <c r="G439" s="647">
        <v>0</v>
      </c>
      <c r="H439" s="647"/>
      <c r="I439" s="696"/>
      <c r="J439" s="648"/>
      <c r="K439" s="647"/>
      <c r="L439" s="230"/>
      <c r="M439" s="230"/>
      <c r="N439" s="231"/>
    </row>
    <row r="440" spans="1:14">
      <c r="A440" s="493">
        <v>2018</v>
      </c>
      <c r="B440" s="514" t="s">
        <v>89</v>
      </c>
      <c r="C440" s="494">
        <v>51</v>
      </c>
      <c r="D440" s="514" t="s">
        <v>100</v>
      </c>
      <c r="E440" s="494">
        <v>13</v>
      </c>
      <c r="F440" s="232" t="s">
        <v>426</v>
      </c>
      <c r="G440" s="647">
        <v>0</v>
      </c>
      <c r="H440" s="647"/>
      <c r="I440" s="696"/>
      <c r="J440" s="648"/>
      <c r="K440" s="647"/>
      <c r="L440" s="230"/>
      <c r="M440" s="230"/>
      <c r="N440" s="231"/>
    </row>
    <row r="441" spans="1:14">
      <c r="A441" s="493">
        <v>2018</v>
      </c>
      <c r="B441" s="514" t="s">
        <v>89</v>
      </c>
      <c r="C441" s="494">
        <v>51</v>
      </c>
      <c r="D441" s="514" t="s">
        <v>100</v>
      </c>
      <c r="E441" s="494">
        <v>99</v>
      </c>
      <c r="F441" s="232" t="s">
        <v>56</v>
      </c>
      <c r="G441" s="647">
        <v>0</v>
      </c>
      <c r="H441" s="647"/>
      <c r="I441" s="696">
        <f>1555054000+1044824000</f>
        <v>2599878000</v>
      </c>
      <c r="J441" s="648"/>
      <c r="K441" s="647"/>
      <c r="L441" s="230"/>
      <c r="M441" s="230"/>
      <c r="N441" s="231"/>
    </row>
    <row r="442" spans="1:14">
      <c r="B442" s="514"/>
      <c r="F442" s="232"/>
      <c r="G442" s="647"/>
      <c r="H442" s="647"/>
      <c r="I442" s="696"/>
      <c r="J442" s="648"/>
      <c r="K442" s="647"/>
      <c r="L442" s="230"/>
      <c r="M442" s="230"/>
      <c r="N442" s="231"/>
    </row>
    <row r="443" spans="1:14" ht="12.95">
      <c r="B443" s="514"/>
      <c r="F443" s="513" t="s">
        <v>427</v>
      </c>
      <c r="G443" s="647">
        <v>0</v>
      </c>
      <c r="H443" s="647"/>
      <c r="I443" s="696"/>
      <c r="J443" s="678"/>
      <c r="K443" s="647"/>
      <c r="L443" s="230"/>
      <c r="M443" s="230"/>
      <c r="N443" s="231"/>
    </row>
    <row r="444" spans="1:14">
      <c r="A444" s="493">
        <v>2018</v>
      </c>
      <c r="B444" s="514" t="s">
        <v>89</v>
      </c>
      <c r="C444" s="494">
        <v>51</v>
      </c>
      <c r="D444" s="494">
        <v>99</v>
      </c>
      <c r="E444" s="514" t="s">
        <v>91</v>
      </c>
      <c r="F444" s="232" t="s">
        <v>428</v>
      </c>
      <c r="G444" s="647">
        <v>0</v>
      </c>
      <c r="H444" s="647"/>
      <c r="I444" s="696"/>
      <c r="J444" s="648"/>
      <c r="K444" s="647"/>
      <c r="L444" s="230">
        <f>SUM(J444:J444)</f>
        <v>0</v>
      </c>
      <c r="M444" s="230" t="e">
        <f>#REF!-#REF!</f>
        <v>#REF!</v>
      </c>
      <c r="N444" s="231"/>
    </row>
    <row r="445" spans="1:14" ht="12.95" thickBot="1">
      <c r="A445" s="493">
        <v>2018</v>
      </c>
      <c r="B445" s="514" t="s">
        <v>89</v>
      </c>
      <c r="C445" s="494">
        <v>51</v>
      </c>
      <c r="D445" s="494">
        <v>99</v>
      </c>
      <c r="E445" s="494">
        <v>99</v>
      </c>
      <c r="F445" s="232" t="s">
        <v>56</v>
      </c>
      <c r="G445" s="647">
        <v>0</v>
      </c>
      <c r="H445" s="647"/>
      <c r="I445" s="696">
        <v>2832199000</v>
      </c>
      <c r="J445" s="677">
        <v>17066369000</v>
      </c>
      <c r="K445" s="647"/>
      <c r="L445" s="230">
        <f>SUM(J445:J445)</f>
        <v>17066369000</v>
      </c>
      <c r="M445" s="230" t="e">
        <f>#REF!-#REF!</f>
        <v>#REF!</v>
      </c>
      <c r="N445" s="231"/>
    </row>
    <row r="446" spans="1:14" ht="13.5" thickBot="1">
      <c r="F446" s="521" t="s">
        <v>429</v>
      </c>
      <c r="G446" s="653">
        <f t="shared" ref="G446:N446" si="65">SUM(G435:G445)</f>
        <v>16450503000</v>
      </c>
      <c r="H446" s="653">
        <f t="shared" si="65"/>
        <v>0</v>
      </c>
      <c r="I446" s="699">
        <f t="shared" si="65"/>
        <v>14795375000</v>
      </c>
      <c r="J446" s="653">
        <f t="shared" si="65"/>
        <v>17066369000</v>
      </c>
      <c r="K446" s="653">
        <f t="shared" si="65"/>
        <v>0</v>
      </c>
      <c r="L446" s="633">
        <f t="shared" si="65"/>
        <v>17066369000</v>
      </c>
      <c r="M446" s="186" t="e">
        <f t="shared" si="65"/>
        <v>#REF!</v>
      </c>
      <c r="N446" s="237">
        <f t="shared" si="65"/>
        <v>0</v>
      </c>
    </row>
    <row r="447" spans="1:14" ht="12.95" thickBot="1">
      <c r="F447" s="232"/>
      <c r="G447" s="651"/>
      <c r="H447" s="647" t="s">
        <v>18</v>
      </c>
      <c r="I447" s="696" t="s">
        <v>18</v>
      </c>
      <c r="J447" s="647" t="s">
        <v>18</v>
      </c>
      <c r="K447" s="647"/>
      <c r="L447" s="230">
        <f>SUM(J447:J447)</f>
        <v>0</v>
      </c>
      <c r="M447" s="230" t="e">
        <f>#REF!-#REF!</f>
        <v>#REF!</v>
      </c>
      <c r="N447" s="231"/>
    </row>
    <row r="448" spans="1:14" ht="13.5" thickBot="1">
      <c r="F448" s="521" t="s">
        <v>430</v>
      </c>
      <c r="G448" s="653">
        <f t="shared" ref="G448:N448" si="66">SUM(G432+G446)</f>
        <v>72992741930.220001</v>
      </c>
      <c r="H448" s="653">
        <f t="shared" si="66"/>
        <v>32082500000</v>
      </c>
      <c r="I448" s="700">
        <f t="shared" si="66"/>
        <v>19537203000</v>
      </c>
      <c r="J448" s="653">
        <f t="shared" si="66"/>
        <v>77397163766.179993</v>
      </c>
      <c r="K448" s="653">
        <f t="shared" si="66"/>
        <v>32963694766.18</v>
      </c>
      <c r="L448" s="633">
        <f t="shared" si="66"/>
        <v>17066369000</v>
      </c>
      <c r="M448" s="186" t="e">
        <f t="shared" si="66"/>
        <v>#REF!</v>
      </c>
      <c r="N448" s="237">
        <f t="shared" si="66"/>
        <v>0</v>
      </c>
    </row>
    <row r="449" spans="1:14">
      <c r="F449" s="232"/>
      <c r="G449" s="651"/>
      <c r="H449" s="647"/>
      <c r="I449" s="696" t="s">
        <v>18</v>
      </c>
      <c r="J449" s="648"/>
      <c r="K449" s="647"/>
      <c r="L449" s="230"/>
      <c r="M449" s="230"/>
      <c r="N449" s="231"/>
    </row>
    <row r="450" spans="1:14" ht="12.95">
      <c r="F450" s="513" t="s">
        <v>431</v>
      </c>
      <c r="G450" s="651"/>
      <c r="H450" s="647"/>
      <c r="I450" s="696" t="s">
        <v>18</v>
      </c>
      <c r="J450" s="678"/>
      <c r="K450" s="647"/>
      <c r="L450" s="230">
        <f>SUM(J450:J450)</f>
        <v>0</v>
      </c>
      <c r="M450" s="230" t="e">
        <f>#REF!-#REF!</f>
        <v>#REF!</v>
      </c>
      <c r="N450" s="231"/>
    </row>
    <row r="451" spans="1:14">
      <c r="A451" s="493">
        <v>2018</v>
      </c>
      <c r="B451" s="514" t="s">
        <v>89</v>
      </c>
      <c r="C451" s="494">
        <v>51</v>
      </c>
      <c r="D451" s="514" t="s">
        <v>91</v>
      </c>
      <c r="E451" s="514" t="s">
        <v>91</v>
      </c>
      <c r="F451" s="232" t="s">
        <v>432</v>
      </c>
      <c r="G451" s="651">
        <v>0</v>
      </c>
      <c r="H451" s="647"/>
      <c r="I451" s="696">
        <f>'SUMMARY SHEET AUGUST -DECEMBER'!H517</f>
        <v>25271897516.090004</v>
      </c>
      <c r="J451" s="648"/>
      <c r="K451" s="647"/>
      <c r="L451" s="230">
        <f>SUM(J451:J451)</f>
        <v>0</v>
      </c>
      <c r="M451" s="230" t="e">
        <f>#REF!-#REF!</f>
        <v>#REF!</v>
      </c>
      <c r="N451" s="231"/>
    </row>
    <row r="452" spans="1:14">
      <c r="A452" s="493">
        <v>2018</v>
      </c>
      <c r="B452" s="514" t="s">
        <v>89</v>
      </c>
      <c r="C452" s="494">
        <v>51</v>
      </c>
      <c r="D452" s="514" t="s">
        <v>91</v>
      </c>
      <c r="E452" s="514" t="s">
        <v>94</v>
      </c>
      <c r="F452" s="233" t="s">
        <v>433</v>
      </c>
      <c r="G452" s="647">
        <v>53652708960.720001</v>
      </c>
      <c r="H452" s="647">
        <v>92047600000</v>
      </c>
      <c r="I452" s="696">
        <v>23654704001.759998</v>
      </c>
      <c r="J452" s="683">
        <f>60400000000+1675307000</f>
        <v>62075307000</v>
      </c>
      <c r="K452" s="647">
        <f>J452-H452</f>
        <v>-29972293000</v>
      </c>
      <c r="L452" s="230">
        <f>SUM(J452:J452)</f>
        <v>62075307000</v>
      </c>
      <c r="M452" s="230" t="e">
        <f>#REF!-#REF!</f>
        <v>#REF!</v>
      </c>
      <c r="N452" s="231"/>
    </row>
    <row r="453" spans="1:14">
      <c r="A453" s="493">
        <v>2018</v>
      </c>
      <c r="B453" s="514" t="s">
        <v>89</v>
      </c>
      <c r="C453" s="494">
        <v>51</v>
      </c>
      <c r="D453" s="514" t="s">
        <v>91</v>
      </c>
      <c r="E453" s="514" t="s">
        <v>100</v>
      </c>
      <c r="F453" s="232" t="s">
        <v>434</v>
      </c>
      <c r="G453" s="647">
        <v>0</v>
      </c>
      <c r="H453" s="647"/>
      <c r="I453" s="696">
        <v>154412540.66</v>
      </c>
      <c r="J453" s="648"/>
      <c r="K453" s="647">
        <f>J453-H453</f>
        <v>0</v>
      </c>
      <c r="L453" s="230">
        <f>SUM(J453:J453)</f>
        <v>0</v>
      </c>
      <c r="M453" s="230" t="e">
        <f>#REF!-#REF!</f>
        <v>#REF!</v>
      </c>
      <c r="N453" s="231"/>
    </row>
    <row r="454" spans="1:14" ht="12.95" thickBot="1">
      <c r="A454" s="493">
        <v>2018</v>
      </c>
      <c r="B454" s="514" t="s">
        <v>89</v>
      </c>
      <c r="C454" s="494">
        <v>51</v>
      </c>
      <c r="D454" s="494">
        <v>99</v>
      </c>
      <c r="E454" s="494">
        <v>99</v>
      </c>
      <c r="F454" s="232" t="s">
        <v>435</v>
      </c>
      <c r="G454" s="647">
        <f>22142331302.81+13185717910.91</f>
        <v>35328049213.720001</v>
      </c>
      <c r="H454" s="647"/>
      <c r="I454" s="696">
        <f>'[2]To date'!$M$521+'SUMMARY SHEET AUGUST -DECEMBER'!H519</f>
        <v>10058423315.660002</v>
      </c>
      <c r="J454" s="648"/>
      <c r="K454" s="647">
        <f>J454-H454</f>
        <v>0</v>
      </c>
      <c r="L454" s="230">
        <f>SUM(J454:J454)</f>
        <v>0</v>
      </c>
      <c r="M454" s="230" t="e">
        <f>#REF!-#REF!</f>
        <v>#REF!</v>
      </c>
      <c r="N454" s="231"/>
    </row>
    <row r="455" spans="1:14" ht="13.5" thickBot="1">
      <c r="F455" s="521" t="s">
        <v>436</v>
      </c>
      <c r="G455" s="653">
        <f t="shared" ref="G455:N455" si="67">SUM(G452:G454)</f>
        <v>88980758174.440002</v>
      </c>
      <c r="H455" s="653">
        <f t="shared" si="67"/>
        <v>92047600000</v>
      </c>
      <c r="I455" s="700">
        <f t="shared" si="67"/>
        <v>33867539858.080002</v>
      </c>
      <c r="J455" s="653">
        <f t="shared" si="67"/>
        <v>62075307000</v>
      </c>
      <c r="K455" s="653">
        <f t="shared" si="67"/>
        <v>-29972293000</v>
      </c>
      <c r="L455" s="633">
        <f t="shared" si="67"/>
        <v>62075307000</v>
      </c>
      <c r="M455" s="186" t="e">
        <f t="shared" si="67"/>
        <v>#REF!</v>
      </c>
      <c r="N455" s="237">
        <f t="shared" si="67"/>
        <v>0</v>
      </c>
    </row>
    <row r="456" spans="1:14" ht="12.95" thickBot="1">
      <c r="F456" s="232"/>
      <c r="G456" s="651"/>
      <c r="H456" s="647" t="s">
        <v>18</v>
      </c>
      <c r="I456" s="696" t="s">
        <v>18</v>
      </c>
      <c r="J456" s="647" t="s">
        <v>18</v>
      </c>
      <c r="K456" s="647"/>
      <c r="L456" s="230"/>
      <c r="M456" s="230"/>
      <c r="N456" s="231"/>
    </row>
    <row r="457" spans="1:14" ht="15.95" thickBot="1">
      <c r="A457" s="495"/>
      <c r="B457" s="495"/>
      <c r="C457" s="495"/>
      <c r="D457" s="495"/>
      <c r="E457" s="495"/>
      <c r="F457" s="550" t="s">
        <v>437</v>
      </c>
      <c r="G457" s="653">
        <f t="shared" ref="G457:N457" si="68">G455+G448</f>
        <v>161973500104.66</v>
      </c>
      <c r="H457" s="653">
        <f t="shared" si="68"/>
        <v>124130100000</v>
      </c>
      <c r="I457" s="700">
        <f t="shared" si="68"/>
        <v>53404742858.080002</v>
      </c>
      <c r="J457" s="653">
        <f t="shared" si="68"/>
        <v>139472470766.17999</v>
      </c>
      <c r="K457" s="653">
        <f t="shared" si="68"/>
        <v>2991401766.1800003</v>
      </c>
      <c r="L457" s="633">
        <f t="shared" si="68"/>
        <v>79141676000</v>
      </c>
      <c r="M457" s="186" t="e">
        <f t="shared" si="68"/>
        <v>#REF!</v>
      </c>
      <c r="N457" s="237">
        <f t="shared" si="68"/>
        <v>0</v>
      </c>
    </row>
    <row r="458" spans="1:14">
      <c r="A458" s="495"/>
      <c r="B458" s="495"/>
      <c r="C458" s="495"/>
      <c r="D458" s="495"/>
      <c r="E458" s="495"/>
      <c r="F458" s="558"/>
      <c r="G458" s="651"/>
      <c r="H458" s="647"/>
      <c r="I458" s="696"/>
      <c r="J458" s="684"/>
      <c r="K458" s="647"/>
      <c r="L458" s="230"/>
      <c r="M458" s="230"/>
      <c r="N458" s="231"/>
    </row>
    <row r="459" spans="1:14" ht="12.95" hidden="1">
      <c r="A459" s="495"/>
      <c r="B459" s="495"/>
      <c r="C459" s="495"/>
      <c r="D459" s="495"/>
      <c r="E459" s="495"/>
      <c r="F459" s="232"/>
      <c r="G459" s="665" t="s">
        <v>5</v>
      </c>
      <c r="H459" s="665" t="s">
        <v>8</v>
      </c>
      <c r="I459" s="692" t="s">
        <v>5</v>
      </c>
      <c r="J459" s="685"/>
      <c r="K459" s="665"/>
      <c r="L459" s="230"/>
      <c r="M459" s="230"/>
      <c r="N459" s="231"/>
    </row>
    <row r="460" spans="1:14" ht="12.95" hidden="1">
      <c r="A460" s="495"/>
      <c r="B460" s="495"/>
      <c r="C460" s="495"/>
      <c r="D460" s="495"/>
      <c r="E460" s="495"/>
      <c r="F460" s="559"/>
      <c r="G460" s="665" t="s">
        <v>9</v>
      </c>
      <c r="H460" s="686" t="s">
        <v>11</v>
      </c>
      <c r="I460" s="692" t="s">
        <v>9</v>
      </c>
      <c r="J460" s="665" t="s">
        <v>8</v>
      </c>
      <c r="K460" s="665" t="s">
        <v>72</v>
      </c>
      <c r="L460" s="230"/>
      <c r="M460" s="230"/>
      <c r="N460" s="231"/>
    </row>
    <row r="461" spans="1:14" ht="12.95" hidden="1">
      <c r="A461" s="495"/>
      <c r="B461" s="495"/>
      <c r="C461" s="495"/>
      <c r="D461" s="495"/>
      <c r="E461" s="495"/>
      <c r="F461" s="229" t="s">
        <v>74</v>
      </c>
      <c r="G461" s="666" t="s">
        <v>438</v>
      </c>
      <c r="H461" s="686" t="s">
        <v>439</v>
      </c>
      <c r="I461" s="710" t="s">
        <v>12</v>
      </c>
      <c r="J461" s="686" t="s">
        <v>13</v>
      </c>
      <c r="K461" s="665" t="s">
        <v>440</v>
      </c>
      <c r="L461" s="230"/>
      <c r="M461" s="230"/>
      <c r="N461" s="231"/>
    </row>
    <row r="462" spans="1:14" ht="12.95" hidden="1">
      <c r="A462" s="495"/>
      <c r="B462" s="495"/>
      <c r="C462" s="495"/>
      <c r="D462" s="495"/>
      <c r="E462" s="495"/>
      <c r="F462" s="233"/>
      <c r="G462" s="666" t="s">
        <v>80</v>
      </c>
      <c r="H462" s="665" t="s">
        <v>81</v>
      </c>
      <c r="I462" s="710" t="s">
        <v>14</v>
      </c>
      <c r="J462" s="686" t="s">
        <v>78</v>
      </c>
      <c r="K462" s="665" t="s">
        <v>441</v>
      </c>
      <c r="L462" s="230"/>
      <c r="M462" s="230"/>
      <c r="N462" s="231"/>
    </row>
    <row r="463" spans="1:14" ht="12.95" hidden="1">
      <c r="A463" s="495"/>
      <c r="B463" s="495"/>
      <c r="C463" s="495"/>
      <c r="D463" s="495"/>
      <c r="E463" s="495"/>
      <c r="F463" s="232"/>
      <c r="G463" s="715"/>
      <c r="H463" s="665"/>
      <c r="I463" s="692" t="s">
        <v>82</v>
      </c>
      <c r="J463" s="676"/>
      <c r="K463" s="665" t="s">
        <v>83</v>
      </c>
      <c r="L463" s="230">
        <f>SUM(J463:J463)</f>
        <v>0</v>
      </c>
      <c r="M463" s="230" t="e">
        <f>#REF!-#REF!</f>
        <v>#REF!</v>
      </c>
      <c r="N463" s="231"/>
    </row>
    <row r="464" spans="1:14" ht="12.95">
      <c r="A464" s="495"/>
      <c r="B464" s="495"/>
      <c r="C464" s="495"/>
      <c r="D464" s="495"/>
      <c r="E464" s="495"/>
      <c r="F464" s="513" t="s">
        <v>17</v>
      </c>
      <c r="G464" s="652"/>
      <c r="H464" s="661"/>
      <c r="I464" s="696" t="s">
        <v>18</v>
      </c>
      <c r="J464" s="678"/>
      <c r="K464" s="661"/>
      <c r="L464" s="230"/>
      <c r="M464" s="230"/>
      <c r="N464" s="231"/>
    </row>
    <row r="465" spans="1:14">
      <c r="A465" s="495"/>
      <c r="B465" s="495"/>
      <c r="C465" s="495"/>
      <c r="D465" s="495"/>
      <c r="E465" s="495"/>
      <c r="F465" s="233" t="s">
        <v>442</v>
      </c>
      <c r="G465" s="647">
        <f>G42</f>
        <v>626358446430.81641</v>
      </c>
      <c r="H465" s="647">
        <f>H42</f>
        <v>671536098866.98999</v>
      </c>
      <c r="I465" s="696">
        <f>I42</f>
        <v>501585771753.56006</v>
      </c>
      <c r="J465" s="647">
        <f>J42</f>
        <v>824295808437.58997</v>
      </c>
      <c r="K465" s="647">
        <f>J465-H465</f>
        <v>152759709570.59998</v>
      </c>
      <c r="L465" s="230">
        <f>SUM(L463:L464)</f>
        <v>0</v>
      </c>
      <c r="M465" s="230" t="e">
        <f>SUM(M463:M464)</f>
        <v>#REF!</v>
      </c>
      <c r="N465" s="231"/>
    </row>
    <row r="466" spans="1:14">
      <c r="A466" s="495"/>
      <c r="B466" s="495"/>
      <c r="C466" s="495"/>
      <c r="D466" s="495"/>
      <c r="E466" s="495"/>
      <c r="F466" s="232" t="s">
        <v>443</v>
      </c>
      <c r="G466" s="647">
        <f>G379</f>
        <v>94936696985.469986</v>
      </c>
      <c r="H466" s="647">
        <f>H379</f>
        <v>65398700000</v>
      </c>
      <c r="I466" s="696">
        <f>I379+I377</f>
        <v>43760736819.208</v>
      </c>
      <c r="J466" s="647">
        <f>J379</f>
        <v>65228522019.203339</v>
      </c>
      <c r="K466" s="647">
        <f t="shared" ref="K466:K473" si="69">J466-H466</f>
        <v>-170177980.79666138</v>
      </c>
      <c r="L466" s="230"/>
      <c r="M466" s="230"/>
      <c r="N466" s="231"/>
    </row>
    <row r="467" spans="1:14" ht="12.95">
      <c r="A467" s="495"/>
      <c r="B467" s="495"/>
      <c r="C467" s="495"/>
      <c r="D467" s="495"/>
      <c r="E467" s="495"/>
      <c r="F467" s="560" t="s">
        <v>44</v>
      </c>
      <c r="G467" s="647">
        <f>G398</f>
        <v>3481532481.9299998</v>
      </c>
      <c r="H467" s="647">
        <f>H398</f>
        <v>33991600000</v>
      </c>
      <c r="I467" s="696">
        <f>I398</f>
        <v>3299568678.9300003</v>
      </c>
      <c r="J467" s="647">
        <f>J398</f>
        <v>15994531256.809999</v>
      </c>
      <c r="K467" s="647">
        <f t="shared" si="69"/>
        <v>-17997068743.190002</v>
      </c>
      <c r="L467" s="230"/>
      <c r="M467" s="230"/>
      <c r="N467" s="231"/>
    </row>
    <row r="468" spans="1:14" ht="12.95">
      <c r="A468" s="495"/>
      <c r="B468" s="495"/>
      <c r="C468" s="495"/>
      <c r="D468" s="495"/>
      <c r="E468" s="495"/>
      <c r="F468" s="560" t="s">
        <v>51</v>
      </c>
      <c r="G468" s="661"/>
      <c r="H468" s="661"/>
      <c r="I468" s="696"/>
      <c r="J468" s="661"/>
      <c r="K468" s="647">
        <f t="shared" si="69"/>
        <v>0</v>
      </c>
      <c r="L468" s="230"/>
      <c r="M468" s="230"/>
      <c r="N468" s="231"/>
    </row>
    <row r="469" spans="1:14" ht="24.95">
      <c r="A469" s="495"/>
      <c r="B469" s="495"/>
      <c r="C469" s="495"/>
      <c r="D469" s="495"/>
      <c r="E469" s="495"/>
      <c r="F469" s="232" t="s">
        <v>444</v>
      </c>
      <c r="G469" s="647">
        <f>G405</f>
        <v>135700000</v>
      </c>
      <c r="H469" s="647">
        <f>H405</f>
        <v>4908300000</v>
      </c>
      <c r="I469" s="696">
        <f>I405</f>
        <v>58160284.200000003</v>
      </c>
      <c r="J469" s="647">
        <f>J405</f>
        <v>1283400000</v>
      </c>
      <c r="K469" s="647">
        <f t="shared" si="69"/>
        <v>-3624900000</v>
      </c>
      <c r="L469" s="230">
        <f t="shared" ref="L469:L476" si="70">SUM(J469:J469)</f>
        <v>1283400000</v>
      </c>
      <c r="M469" s="230" t="e">
        <f>#REF!-#REF!</f>
        <v>#REF!</v>
      </c>
      <c r="N469" s="231"/>
    </row>
    <row r="470" spans="1:14">
      <c r="A470" s="495"/>
      <c r="B470" s="495"/>
      <c r="C470" s="495"/>
      <c r="D470" s="495"/>
      <c r="E470" s="495"/>
      <c r="F470" s="232" t="s">
        <v>445</v>
      </c>
      <c r="G470" s="647">
        <f>G411</f>
        <v>9577473732.6000004</v>
      </c>
      <c r="H470" s="647">
        <f>H411</f>
        <v>6459981000</v>
      </c>
      <c r="I470" s="696">
        <f>I411</f>
        <v>4036728079.6700001</v>
      </c>
      <c r="J470" s="647">
        <f>J411</f>
        <v>6591107000</v>
      </c>
      <c r="K470" s="647">
        <f t="shared" si="69"/>
        <v>131126000</v>
      </c>
      <c r="L470" s="230">
        <f t="shared" si="70"/>
        <v>6591107000</v>
      </c>
      <c r="M470" s="230" t="e">
        <f>#REF!-#REF!</f>
        <v>#REF!</v>
      </c>
      <c r="N470" s="231"/>
    </row>
    <row r="471" spans="1:14" ht="12.95">
      <c r="A471" s="495"/>
      <c r="B471" s="495"/>
      <c r="C471" s="495"/>
      <c r="D471" s="495"/>
      <c r="E471" s="495"/>
      <c r="F471" s="513" t="s">
        <v>446</v>
      </c>
      <c r="G471" s="661"/>
      <c r="H471" s="661"/>
      <c r="I471" s="696"/>
      <c r="J471" s="661"/>
      <c r="K471" s="647">
        <f t="shared" si="69"/>
        <v>0</v>
      </c>
      <c r="L471" s="230">
        <f t="shared" si="70"/>
        <v>0</v>
      </c>
      <c r="M471" s="230" t="e">
        <f>#REF!-#REF!</f>
        <v>#REF!</v>
      </c>
      <c r="N471" s="231"/>
    </row>
    <row r="472" spans="1:14">
      <c r="A472" s="495"/>
      <c r="B472" s="495"/>
      <c r="C472" s="495"/>
      <c r="D472" s="495"/>
      <c r="E472" s="495"/>
      <c r="F472" s="232" t="s">
        <v>447</v>
      </c>
      <c r="G472" s="647">
        <f>G448</f>
        <v>72992741930.220001</v>
      </c>
      <c r="H472" s="647">
        <f>H448</f>
        <v>32082500000</v>
      </c>
      <c r="I472" s="696">
        <f>I448</f>
        <v>19537203000</v>
      </c>
      <c r="J472" s="647">
        <f>J448</f>
        <v>77397163766.179993</v>
      </c>
      <c r="K472" s="647">
        <f t="shared" si="69"/>
        <v>45314663766.179993</v>
      </c>
      <c r="L472" s="230">
        <f t="shared" si="70"/>
        <v>77397163766.179993</v>
      </c>
      <c r="M472" s="230" t="e">
        <f>#REF!-#REF!</f>
        <v>#REF!</v>
      </c>
      <c r="N472" s="231"/>
    </row>
    <row r="473" spans="1:14" ht="12.95" thickBot="1">
      <c r="A473" s="495"/>
      <c r="B473" s="495"/>
      <c r="C473" s="495"/>
      <c r="D473" s="495"/>
      <c r="E473" s="495"/>
      <c r="F473" s="561" t="s">
        <v>448</v>
      </c>
      <c r="G473" s="647">
        <f>G455</f>
        <v>88980758174.440002</v>
      </c>
      <c r="H473" s="647">
        <f>H455</f>
        <v>92047600000</v>
      </c>
      <c r="I473" s="696">
        <f>I455</f>
        <v>33867539858.080002</v>
      </c>
      <c r="J473" s="647">
        <f>J455</f>
        <v>62075307000</v>
      </c>
      <c r="K473" s="647">
        <f t="shared" si="69"/>
        <v>-29972293000</v>
      </c>
      <c r="L473" s="230">
        <f t="shared" si="70"/>
        <v>62075307000</v>
      </c>
      <c r="M473" s="230" t="e">
        <f>#REF!-#REF!</f>
        <v>#REF!</v>
      </c>
      <c r="N473" s="231"/>
    </row>
    <row r="474" spans="1:14" ht="12.95">
      <c r="A474" s="495"/>
      <c r="B474" s="495"/>
      <c r="C474" s="495"/>
      <c r="D474" s="495"/>
      <c r="E474" s="495"/>
      <c r="F474" s="562" t="s">
        <v>38</v>
      </c>
      <c r="G474" s="667">
        <f t="shared" ref="G474:N474" si="71">SUM(G465:G473)</f>
        <v>896463349735.47632</v>
      </c>
      <c r="H474" s="668">
        <f t="shared" si="71"/>
        <v>906424779866.98999</v>
      </c>
      <c r="I474" s="711">
        <f t="shared" si="71"/>
        <v>606145708473.64807</v>
      </c>
      <c r="J474" s="668">
        <f t="shared" si="71"/>
        <v>1052865839479.7834</v>
      </c>
      <c r="K474" s="668">
        <f t="shared" si="71"/>
        <v>146441059612.7933</v>
      </c>
      <c r="L474" s="639">
        <f t="shared" si="71"/>
        <v>147346977766.17999</v>
      </c>
      <c r="M474" s="563" t="e">
        <f t="shared" si="71"/>
        <v>#REF!</v>
      </c>
      <c r="N474" s="564">
        <f t="shared" si="71"/>
        <v>0</v>
      </c>
    </row>
    <row r="475" spans="1:14">
      <c r="A475" s="495"/>
      <c r="B475" s="495"/>
      <c r="C475" s="495"/>
      <c r="D475" s="495"/>
      <c r="E475" s="495"/>
      <c r="F475" s="640"/>
      <c r="G475" s="641"/>
      <c r="H475" s="642"/>
      <c r="I475" s="643"/>
      <c r="J475" s="642" t="s">
        <v>18</v>
      </c>
      <c r="K475" s="644"/>
      <c r="L475" s="566">
        <f t="shared" si="70"/>
        <v>0</v>
      </c>
      <c r="M475" s="567" t="e">
        <f>#REF!-#REF!</f>
        <v>#REF!</v>
      </c>
    </row>
    <row r="476" spans="1:14">
      <c r="A476" s="495"/>
      <c r="B476" s="495"/>
      <c r="C476" s="495"/>
      <c r="D476" s="495"/>
      <c r="E476" s="495"/>
      <c r="G476" s="379"/>
      <c r="K476" s="372"/>
      <c r="L476" s="566">
        <f t="shared" si="70"/>
        <v>0</v>
      </c>
      <c r="M476" s="567" t="e">
        <f>#REF!-#REF!</f>
        <v>#REF!</v>
      </c>
    </row>
    <row r="477" spans="1:14">
      <c r="A477" s="495"/>
      <c r="B477" s="495"/>
      <c r="C477" s="495"/>
      <c r="D477" s="495"/>
      <c r="E477" s="495"/>
      <c r="F477" s="568"/>
      <c r="G477" s="380"/>
      <c r="J477" s="625"/>
      <c r="L477" s="566"/>
      <c r="M477" s="566"/>
    </row>
    <row r="478" spans="1:14">
      <c r="A478" s="495"/>
      <c r="B478" s="495"/>
      <c r="C478" s="495"/>
      <c r="D478" s="495"/>
      <c r="E478" s="495"/>
      <c r="G478" s="380" t="s">
        <v>18</v>
      </c>
      <c r="L478" s="566"/>
      <c r="M478" s="566"/>
    </row>
    <row r="479" spans="1:14">
      <c r="A479" s="495"/>
      <c r="B479" s="495"/>
      <c r="C479" s="495"/>
      <c r="D479" s="495"/>
      <c r="E479" s="495"/>
      <c r="G479" s="380" t="s">
        <v>449</v>
      </c>
      <c r="L479" s="566"/>
      <c r="M479" s="566"/>
    </row>
    <row r="480" spans="1:14">
      <c r="A480" s="495"/>
      <c r="B480" s="495"/>
      <c r="C480" s="495"/>
      <c r="D480" s="495"/>
      <c r="E480" s="495"/>
      <c r="G480" s="380"/>
      <c r="L480" s="566"/>
      <c r="M480" s="566"/>
    </row>
    <row r="481" spans="1:13">
      <c r="A481" s="495"/>
      <c r="B481" s="495"/>
      <c r="C481" s="495"/>
      <c r="D481" s="495"/>
      <c r="E481" s="495"/>
      <c r="G481" s="380"/>
      <c r="L481" s="566"/>
      <c r="M481" s="566"/>
    </row>
    <row r="482" spans="1:13">
      <c r="A482" s="495"/>
      <c r="B482" s="495"/>
      <c r="C482" s="495"/>
      <c r="D482" s="495"/>
      <c r="E482" s="495"/>
      <c r="G482" s="381" t="s">
        <v>450</v>
      </c>
      <c r="L482" s="566"/>
      <c r="M482" s="566"/>
    </row>
    <row r="483" spans="1:13">
      <c r="A483" s="495"/>
      <c r="B483" s="495"/>
      <c r="C483" s="495"/>
      <c r="D483" s="495"/>
      <c r="E483" s="495"/>
      <c r="G483" s="380"/>
      <c r="L483" s="566"/>
      <c r="M483" s="566"/>
    </row>
    <row r="484" spans="1:13">
      <c r="A484" s="495"/>
      <c r="B484" s="495"/>
      <c r="C484" s="495"/>
      <c r="D484" s="495"/>
      <c r="E484" s="495"/>
      <c r="G484" s="380"/>
      <c r="L484" s="566"/>
      <c r="M484" s="566"/>
    </row>
    <row r="485" spans="1:13">
      <c r="A485" s="495"/>
      <c r="B485" s="495"/>
      <c r="C485" s="495"/>
      <c r="D485" s="495"/>
      <c r="E485" s="495"/>
    </row>
    <row r="486" spans="1:13">
      <c r="A486" s="495"/>
      <c r="B486" s="495"/>
      <c r="C486" s="495"/>
      <c r="D486" s="495"/>
      <c r="E486" s="495"/>
    </row>
    <row r="487" spans="1:13">
      <c r="A487" s="495"/>
      <c r="B487" s="495"/>
      <c r="C487" s="495"/>
      <c r="D487" s="495"/>
      <c r="E487" s="495"/>
      <c r="G487" s="377"/>
      <c r="L487" s="495"/>
      <c r="M487" s="495"/>
    </row>
    <row r="488" spans="1:13">
      <c r="A488" s="495"/>
      <c r="B488" s="495"/>
      <c r="C488" s="495"/>
      <c r="D488" s="495"/>
      <c r="E488" s="495"/>
      <c r="G488" s="377"/>
      <c r="L488" s="495"/>
      <c r="M488" s="495"/>
    </row>
    <row r="489" spans="1:13">
      <c r="A489" s="495"/>
      <c r="B489" s="495"/>
      <c r="C489" s="495"/>
      <c r="D489" s="495"/>
      <c r="E489" s="495"/>
      <c r="F489" s="495"/>
      <c r="G489" s="377"/>
      <c r="L489" s="495"/>
      <c r="M489" s="495"/>
    </row>
    <row r="490" spans="1:13">
      <c r="A490" s="495"/>
      <c r="B490" s="495"/>
      <c r="C490" s="495"/>
      <c r="D490" s="495"/>
      <c r="E490" s="495"/>
      <c r="F490" s="495"/>
      <c r="G490" s="377"/>
      <c r="L490" s="495"/>
      <c r="M490" s="495"/>
    </row>
    <row r="491" spans="1:13">
      <c r="A491" s="495"/>
      <c r="B491" s="495"/>
      <c r="C491" s="495"/>
      <c r="D491" s="495"/>
      <c r="E491" s="495"/>
      <c r="F491" s="495"/>
      <c r="G491" s="377"/>
      <c r="L491" s="495"/>
      <c r="M491" s="495"/>
    </row>
    <row r="492" spans="1:13">
      <c r="A492" s="495"/>
      <c r="B492" s="495"/>
      <c r="C492" s="495"/>
      <c r="D492" s="495"/>
      <c r="E492" s="495"/>
      <c r="F492" s="495"/>
      <c r="G492" s="377"/>
      <c r="L492" s="495"/>
      <c r="M492" s="495"/>
    </row>
    <row r="493" spans="1:13">
      <c r="A493" s="495"/>
      <c r="B493" s="495"/>
      <c r="C493" s="495"/>
      <c r="D493" s="495"/>
      <c r="E493" s="495"/>
      <c r="F493" s="495"/>
      <c r="G493" s="377"/>
      <c r="L493" s="495"/>
      <c r="M493" s="495"/>
    </row>
    <row r="494" spans="1:13">
      <c r="A494" s="495"/>
      <c r="B494" s="495"/>
      <c r="C494" s="495"/>
      <c r="D494" s="495"/>
      <c r="E494" s="495"/>
      <c r="F494" s="495"/>
      <c r="G494" s="377"/>
      <c r="L494" s="495"/>
      <c r="M494" s="495"/>
    </row>
    <row r="495" spans="1:13">
      <c r="A495" s="495"/>
      <c r="B495" s="495"/>
      <c r="C495" s="495"/>
      <c r="D495" s="495"/>
      <c r="E495" s="495"/>
      <c r="F495" s="495"/>
      <c r="G495" s="377"/>
      <c r="L495" s="495"/>
      <c r="M495" s="495"/>
    </row>
    <row r="496" spans="1:13">
      <c r="A496" s="495"/>
      <c r="B496" s="495"/>
      <c r="C496" s="495"/>
      <c r="D496" s="495"/>
      <c r="E496" s="495"/>
      <c r="F496" s="495"/>
      <c r="G496" s="377"/>
      <c r="L496" s="495"/>
      <c r="M496" s="495"/>
    </row>
    <row r="497" spans="7:11" s="495" customFormat="1">
      <c r="G497" s="377"/>
      <c r="H497" s="372"/>
      <c r="I497" s="492"/>
      <c r="J497" s="372"/>
      <c r="K497" s="569"/>
    </row>
    <row r="498" spans="7:11" s="495" customFormat="1">
      <c r="G498" s="377"/>
      <c r="H498" s="372"/>
      <c r="I498" s="492"/>
      <c r="J498" s="372"/>
      <c r="K498" s="569"/>
    </row>
    <row r="499" spans="7:11" s="495" customFormat="1">
      <c r="G499" s="377"/>
      <c r="H499" s="372"/>
      <c r="I499" s="492"/>
      <c r="J499" s="372"/>
      <c r="K499" s="569"/>
    </row>
    <row r="500" spans="7:11" s="495" customFormat="1">
      <c r="G500" s="377"/>
      <c r="H500" s="372"/>
      <c r="I500" s="492"/>
      <c r="J500" s="372"/>
      <c r="K500" s="569"/>
    </row>
    <row r="501" spans="7:11" s="495" customFormat="1">
      <c r="G501" s="377"/>
      <c r="H501" s="372"/>
      <c r="I501" s="492"/>
      <c r="J501" s="372"/>
      <c r="K501" s="569"/>
    </row>
    <row r="502" spans="7:11" s="495" customFormat="1">
      <c r="G502" s="377"/>
      <c r="H502" s="372"/>
      <c r="I502" s="492"/>
      <c r="J502" s="372"/>
      <c r="K502" s="569"/>
    </row>
    <row r="503" spans="7:11" s="495" customFormat="1">
      <c r="G503" s="377"/>
      <c r="H503" s="372"/>
      <c r="I503" s="492"/>
      <c r="J503" s="372"/>
      <c r="K503" s="569"/>
    </row>
    <row r="504" spans="7:11" s="495" customFormat="1">
      <c r="G504" s="377"/>
      <c r="H504" s="372"/>
      <c r="I504" s="492"/>
      <c r="J504" s="372"/>
      <c r="K504" s="569"/>
    </row>
    <row r="505" spans="7:11" s="495" customFormat="1">
      <c r="G505" s="377"/>
      <c r="H505" s="372"/>
      <c r="I505" s="492"/>
      <c r="J505" s="372"/>
      <c r="K505" s="569"/>
    </row>
    <row r="506" spans="7:11" s="495" customFormat="1">
      <c r="G506" s="377"/>
      <c r="H506" s="372"/>
      <c r="I506" s="492"/>
      <c r="J506" s="372"/>
      <c r="K506" s="569"/>
    </row>
    <row r="507" spans="7:11" s="495" customFormat="1">
      <c r="G507" s="377"/>
      <c r="H507" s="372"/>
      <c r="I507" s="492"/>
      <c r="J507" s="372"/>
      <c r="K507" s="569"/>
    </row>
    <row r="508" spans="7:11" s="495" customFormat="1">
      <c r="G508" s="377"/>
      <c r="H508" s="372"/>
      <c r="I508" s="492"/>
      <c r="J508" s="372"/>
      <c r="K508" s="569"/>
    </row>
    <row r="509" spans="7:11" s="495" customFormat="1">
      <c r="G509" s="377"/>
      <c r="H509" s="372"/>
      <c r="I509" s="492"/>
      <c r="J509" s="372"/>
      <c r="K509" s="569"/>
    </row>
    <row r="510" spans="7:11" s="495" customFormat="1">
      <c r="G510" s="377"/>
      <c r="H510" s="372"/>
      <c r="I510" s="492"/>
      <c r="J510" s="372"/>
      <c r="K510" s="569"/>
    </row>
    <row r="511" spans="7:11" s="495" customFormat="1">
      <c r="G511" s="377"/>
      <c r="H511" s="372"/>
      <c r="I511" s="492"/>
      <c r="J511" s="372"/>
      <c r="K511" s="569"/>
    </row>
    <row r="512" spans="7:11" s="495" customFormat="1">
      <c r="G512" s="377"/>
      <c r="H512" s="372"/>
      <c r="I512" s="492"/>
      <c r="J512" s="372"/>
      <c r="K512" s="569"/>
    </row>
    <row r="513" spans="7:11" s="495" customFormat="1">
      <c r="G513" s="377"/>
      <c r="H513" s="372"/>
      <c r="I513" s="492"/>
      <c r="J513" s="372"/>
      <c r="K513" s="569"/>
    </row>
    <row r="514" spans="7:11" s="495" customFormat="1">
      <c r="G514" s="377"/>
      <c r="H514" s="372"/>
      <c r="I514" s="492"/>
      <c r="J514" s="372"/>
      <c r="K514" s="569"/>
    </row>
    <row r="515" spans="7:11" s="495" customFormat="1">
      <c r="G515" s="377"/>
      <c r="H515" s="372"/>
      <c r="I515" s="492"/>
      <c r="J515" s="372"/>
      <c r="K515" s="569"/>
    </row>
    <row r="516" spans="7:11" s="495" customFormat="1">
      <c r="G516" s="377"/>
      <c r="H516" s="372"/>
      <c r="I516" s="492"/>
      <c r="J516" s="372"/>
      <c r="K516" s="569"/>
    </row>
    <row r="517" spans="7:11" s="495" customFormat="1">
      <c r="G517" s="377"/>
      <c r="H517" s="372"/>
      <c r="I517" s="492"/>
      <c r="J517" s="372"/>
      <c r="K517" s="569"/>
    </row>
    <row r="518" spans="7:11" s="495" customFormat="1">
      <c r="G518" s="377"/>
      <c r="H518" s="372"/>
      <c r="I518" s="492"/>
      <c r="J518" s="372"/>
      <c r="K518" s="569"/>
    </row>
    <row r="519" spans="7:11" s="495" customFormat="1">
      <c r="G519" s="377"/>
      <c r="H519" s="372"/>
      <c r="I519" s="492"/>
      <c r="J519" s="372"/>
      <c r="K519" s="569"/>
    </row>
    <row r="520" spans="7:11" s="495" customFormat="1">
      <c r="G520" s="377"/>
      <c r="H520" s="372"/>
      <c r="I520" s="492"/>
      <c r="J520" s="372"/>
      <c r="K520" s="569"/>
    </row>
    <row r="521" spans="7:11" s="495" customFormat="1">
      <c r="G521" s="377"/>
      <c r="H521" s="372"/>
      <c r="I521" s="492"/>
      <c r="J521" s="372"/>
      <c r="K521" s="569"/>
    </row>
    <row r="522" spans="7:11" s="495" customFormat="1">
      <c r="G522" s="377"/>
      <c r="H522" s="372"/>
      <c r="I522" s="492"/>
      <c r="J522" s="372"/>
      <c r="K522" s="569"/>
    </row>
    <row r="523" spans="7:11" s="495" customFormat="1">
      <c r="G523" s="377"/>
      <c r="H523" s="372"/>
      <c r="I523" s="492"/>
      <c r="J523" s="372"/>
      <c r="K523" s="569"/>
    </row>
    <row r="524" spans="7:11" s="495" customFormat="1">
      <c r="G524" s="377"/>
      <c r="H524" s="372"/>
      <c r="I524" s="492"/>
      <c r="J524" s="372"/>
      <c r="K524" s="569"/>
    </row>
    <row r="525" spans="7:11" s="495" customFormat="1">
      <c r="G525" s="377"/>
      <c r="H525" s="372"/>
      <c r="I525" s="492"/>
      <c r="J525" s="372"/>
      <c r="K525" s="569"/>
    </row>
    <row r="526" spans="7:11" s="495" customFormat="1">
      <c r="G526" s="377"/>
      <c r="H526" s="372"/>
      <c r="I526" s="492"/>
      <c r="J526" s="372"/>
      <c r="K526" s="569"/>
    </row>
    <row r="527" spans="7:11" s="495" customFormat="1">
      <c r="G527" s="377"/>
      <c r="H527" s="372"/>
      <c r="I527" s="492"/>
      <c r="J527" s="372"/>
      <c r="K527" s="569"/>
    </row>
    <row r="528" spans="7:11" s="495" customFormat="1">
      <c r="G528" s="377"/>
      <c r="H528" s="372"/>
      <c r="I528" s="492"/>
      <c r="J528" s="372"/>
      <c r="K528" s="569"/>
    </row>
    <row r="529" spans="7:11" s="495" customFormat="1">
      <c r="G529" s="377"/>
      <c r="H529" s="372"/>
      <c r="I529" s="492"/>
      <c r="J529" s="372"/>
      <c r="K529" s="569"/>
    </row>
    <row r="530" spans="7:11" s="495" customFormat="1">
      <c r="G530" s="377"/>
      <c r="H530" s="372"/>
      <c r="I530" s="492"/>
      <c r="J530" s="372"/>
      <c r="K530" s="569"/>
    </row>
    <row r="531" spans="7:11" s="495" customFormat="1">
      <c r="G531" s="377"/>
      <c r="H531" s="372"/>
      <c r="I531" s="492"/>
      <c r="J531" s="372"/>
      <c r="K531" s="569"/>
    </row>
    <row r="532" spans="7:11" s="495" customFormat="1">
      <c r="G532" s="377"/>
      <c r="H532" s="372"/>
      <c r="I532" s="492"/>
      <c r="J532" s="372"/>
      <c r="K532" s="569"/>
    </row>
    <row r="533" spans="7:11" s="495" customFormat="1">
      <c r="G533" s="377"/>
      <c r="H533" s="372"/>
      <c r="I533" s="492"/>
      <c r="J533" s="372"/>
      <c r="K533" s="569"/>
    </row>
    <row r="534" spans="7:11" s="495" customFormat="1">
      <c r="G534" s="377"/>
      <c r="H534" s="372"/>
      <c r="I534" s="492"/>
      <c r="J534" s="372"/>
      <c r="K534" s="569"/>
    </row>
    <row r="535" spans="7:11" s="495" customFormat="1">
      <c r="G535" s="377"/>
      <c r="H535" s="372"/>
      <c r="I535" s="492"/>
      <c r="J535" s="372"/>
      <c r="K535" s="569"/>
    </row>
    <row r="536" spans="7:11" s="495" customFormat="1">
      <c r="G536" s="377"/>
      <c r="H536" s="372"/>
      <c r="I536" s="492"/>
      <c r="J536" s="372"/>
      <c r="K536" s="569"/>
    </row>
    <row r="537" spans="7:11" s="495" customFormat="1">
      <c r="G537" s="377"/>
      <c r="H537" s="372"/>
      <c r="I537" s="492"/>
      <c r="J537" s="372"/>
      <c r="K537" s="569"/>
    </row>
    <row r="538" spans="7:11" s="495" customFormat="1">
      <c r="G538" s="377"/>
      <c r="H538" s="372"/>
      <c r="I538" s="492"/>
      <c r="J538" s="372"/>
      <c r="K538" s="569"/>
    </row>
    <row r="539" spans="7:11" s="495" customFormat="1">
      <c r="G539" s="377"/>
      <c r="H539" s="372"/>
      <c r="I539" s="492"/>
      <c r="J539" s="372"/>
      <c r="K539" s="569"/>
    </row>
    <row r="540" spans="7:11" s="495" customFormat="1">
      <c r="G540" s="377"/>
      <c r="H540" s="372"/>
      <c r="I540" s="492"/>
      <c r="J540" s="372"/>
      <c r="K540" s="569"/>
    </row>
    <row r="541" spans="7:11" s="495" customFormat="1">
      <c r="G541" s="377"/>
      <c r="H541" s="372"/>
      <c r="I541" s="492"/>
      <c r="J541" s="372"/>
      <c r="K541" s="569"/>
    </row>
    <row r="542" spans="7:11" s="495" customFormat="1">
      <c r="G542" s="377"/>
      <c r="H542" s="372"/>
      <c r="I542" s="492"/>
      <c r="J542" s="372"/>
      <c r="K542" s="569"/>
    </row>
    <row r="543" spans="7:11" s="495" customFormat="1">
      <c r="G543" s="377"/>
      <c r="H543" s="372"/>
      <c r="I543" s="492"/>
      <c r="J543" s="372"/>
      <c r="K543" s="569"/>
    </row>
    <row r="544" spans="7:11" s="495" customFormat="1">
      <c r="G544" s="377"/>
      <c r="H544" s="372"/>
      <c r="I544" s="492"/>
      <c r="J544" s="372"/>
      <c r="K544" s="569"/>
    </row>
    <row r="545" spans="7:11" s="495" customFormat="1">
      <c r="G545" s="377"/>
      <c r="H545" s="372"/>
      <c r="I545" s="492"/>
      <c r="J545" s="372"/>
      <c r="K545" s="569"/>
    </row>
    <row r="546" spans="7:11" s="495" customFormat="1">
      <c r="G546" s="377" t="s">
        <v>18</v>
      </c>
      <c r="H546" s="372"/>
      <c r="I546" s="492"/>
      <c r="J546" s="372"/>
      <c r="K546" s="569"/>
    </row>
    <row r="547" spans="7:11" s="495" customFormat="1">
      <c r="G547" s="377"/>
      <c r="H547" s="372"/>
      <c r="I547" s="492"/>
      <c r="J547" s="372"/>
      <c r="K547" s="569"/>
    </row>
    <row r="548" spans="7:11" s="495" customFormat="1">
      <c r="G548" s="377"/>
      <c r="H548" s="372"/>
      <c r="I548" s="492"/>
      <c r="J548" s="372"/>
      <c r="K548" s="569"/>
    </row>
    <row r="549" spans="7:11" s="495" customFormat="1">
      <c r="G549" s="377"/>
      <c r="H549" s="372"/>
      <c r="I549" s="492"/>
      <c r="J549" s="372"/>
      <c r="K549" s="569"/>
    </row>
    <row r="550" spans="7:11" s="495" customFormat="1">
      <c r="G550" s="377"/>
      <c r="H550" s="372"/>
      <c r="I550" s="492"/>
      <c r="J550" s="372"/>
      <c r="K550" s="569"/>
    </row>
    <row r="551" spans="7:11" s="495" customFormat="1">
      <c r="G551" s="377"/>
      <c r="H551" s="372"/>
      <c r="I551" s="492"/>
      <c r="J551" s="372"/>
      <c r="K551" s="569"/>
    </row>
    <row r="552" spans="7:11" s="495" customFormat="1">
      <c r="G552" s="377"/>
      <c r="H552" s="372"/>
      <c r="I552" s="492"/>
      <c r="J552" s="372"/>
      <c r="K552" s="569"/>
    </row>
    <row r="553" spans="7:11" s="495" customFormat="1">
      <c r="G553" s="377"/>
      <c r="H553" s="372"/>
      <c r="I553" s="492"/>
      <c r="J553" s="372"/>
      <c r="K553" s="569"/>
    </row>
    <row r="554" spans="7:11" s="495" customFormat="1">
      <c r="G554" s="377"/>
      <c r="H554" s="372"/>
      <c r="I554" s="492"/>
      <c r="J554" s="372"/>
      <c r="K554" s="569"/>
    </row>
    <row r="555" spans="7:11" s="495" customFormat="1">
      <c r="G555" s="377"/>
      <c r="H555" s="372"/>
      <c r="I555" s="492"/>
      <c r="J555" s="372"/>
      <c r="K555" s="569"/>
    </row>
    <row r="556" spans="7:11" s="495" customFormat="1">
      <c r="G556" s="377"/>
      <c r="H556" s="372"/>
      <c r="I556" s="492"/>
      <c r="J556" s="372"/>
      <c r="K556" s="569"/>
    </row>
    <row r="557" spans="7:11" s="495" customFormat="1">
      <c r="G557" s="377"/>
      <c r="H557" s="372"/>
      <c r="I557" s="492"/>
      <c r="J557" s="372"/>
      <c r="K557" s="569"/>
    </row>
    <row r="558" spans="7:11" s="495" customFormat="1">
      <c r="G558" s="377"/>
      <c r="H558" s="372"/>
      <c r="I558" s="492"/>
      <c r="J558" s="372"/>
      <c r="K558" s="569"/>
    </row>
    <row r="559" spans="7:11" s="495" customFormat="1">
      <c r="G559" s="377"/>
      <c r="H559" s="372"/>
      <c r="I559" s="492"/>
      <c r="J559" s="372"/>
      <c r="K559" s="569"/>
    </row>
    <row r="560" spans="7:11" s="495" customFormat="1">
      <c r="G560" s="377"/>
      <c r="H560" s="372"/>
      <c r="I560" s="492"/>
      <c r="J560" s="372"/>
      <c r="K560" s="569"/>
    </row>
    <row r="561" spans="7:11" s="495" customFormat="1">
      <c r="G561" s="377"/>
      <c r="H561" s="372"/>
      <c r="I561" s="492"/>
      <c r="J561" s="372"/>
      <c r="K561" s="569"/>
    </row>
    <row r="562" spans="7:11" s="495" customFormat="1">
      <c r="G562" s="377"/>
      <c r="H562" s="372"/>
      <c r="I562" s="492"/>
      <c r="J562" s="372"/>
      <c r="K562" s="569"/>
    </row>
    <row r="563" spans="7:11" s="495" customFormat="1">
      <c r="G563" s="377"/>
      <c r="H563" s="372"/>
      <c r="I563" s="492"/>
      <c r="J563" s="372"/>
      <c r="K563" s="569"/>
    </row>
    <row r="564" spans="7:11" s="495" customFormat="1">
      <c r="G564" s="377"/>
      <c r="H564" s="372"/>
      <c r="I564" s="492"/>
      <c r="J564" s="372"/>
      <c r="K564" s="569"/>
    </row>
    <row r="565" spans="7:11" s="495" customFormat="1">
      <c r="G565" s="377"/>
      <c r="H565" s="372"/>
      <c r="I565" s="492"/>
      <c r="J565" s="372"/>
      <c r="K565" s="569"/>
    </row>
    <row r="566" spans="7:11" s="495" customFormat="1">
      <c r="G566" s="377"/>
      <c r="H566" s="372"/>
      <c r="I566" s="492"/>
      <c r="J566" s="372"/>
      <c r="K566" s="569"/>
    </row>
    <row r="567" spans="7:11" s="495" customFormat="1">
      <c r="G567" s="377"/>
      <c r="H567" s="372"/>
      <c r="I567" s="492"/>
      <c r="J567" s="372"/>
      <c r="K567" s="569"/>
    </row>
    <row r="568" spans="7:11" s="495" customFormat="1">
      <c r="G568" s="377"/>
      <c r="H568" s="372"/>
      <c r="I568" s="492"/>
      <c r="J568" s="372"/>
      <c r="K568" s="569"/>
    </row>
    <row r="569" spans="7:11" s="495" customFormat="1">
      <c r="G569" s="377"/>
      <c r="H569" s="372"/>
      <c r="I569" s="492"/>
      <c r="J569" s="372"/>
      <c r="K569" s="569"/>
    </row>
    <row r="570" spans="7:11" s="495" customFormat="1">
      <c r="G570" s="377"/>
      <c r="H570" s="372"/>
      <c r="I570" s="492"/>
      <c r="J570" s="372"/>
      <c r="K570" s="569"/>
    </row>
    <row r="571" spans="7:11" s="495" customFormat="1">
      <c r="G571" s="377"/>
      <c r="H571" s="372"/>
      <c r="I571" s="492"/>
      <c r="J571" s="372"/>
      <c r="K571" s="569"/>
    </row>
    <row r="572" spans="7:11" s="495" customFormat="1">
      <c r="G572" s="377"/>
      <c r="H572" s="372"/>
      <c r="I572" s="492"/>
      <c r="J572" s="372"/>
      <c r="K572" s="569"/>
    </row>
    <row r="573" spans="7:11" s="495" customFormat="1">
      <c r="G573" s="377"/>
      <c r="H573" s="372"/>
      <c r="I573" s="492"/>
      <c r="J573" s="372"/>
      <c r="K573" s="569"/>
    </row>
    <row r="574" spans="7:11" s="495" customFormat="1">
      <c r="G574" s="377"/>
      <c r="H574" s="372"/>
      <c r="I574" s="492"/>
      <c r="J574" s="372"/>
      <c r="K574" s="569"/>
    </row>
    <row r="575" spans="7:11" s="495" customFormat="1">
      <c r="G575" s="377"/>
      <c r="H575" s="372"/>
      <c r="I575" s="492"/>
      <c r="J575" s="372"/>
      <c r="K575" s="569"/>
    </row>
    <row r="576" spans="7:11" s="495" customFormat="1">
      <c r="G576" s="377"/>
      <c r="H576" s="372"/>
      <c r="I576" s="492"/>
      <c r="J576" s="372"/>
      <c r="K576" s="569"/>
    </row>
    <row r="577" spans="7:11" s="495" customFormat="1">
      <c r="G577" s="377"/>
      <c r="H577" s="372"/>
      <c r="I577" s="492"/>
      <c r="J577" s="372"/>
      <c r="K577" s="569"/>
    </row>
    <row r="578" spans="7:11" s="495" customFormat="1">
      <c r="G578" s="377"/>
      <c r="H578" s="372"/>
      <c r="I578" s="492"/>
      <c r="J578" s="372"/>
      <c r="K578" s="569"/>
    </row>
    <row r="579" spans="7:11" s="495" customFormat="1">
      <c r="G579" s="377"/>
      <c r="H579" s="372"/>
      <c r="I579" s="492"/>
      <c r="J579" s="372"/>
      <c r="K579" s="569"/>
    </row>
    <row r="580" spans="7:11" s="495" customFormat="1">
      <c r="G580" s="377"/>
      <c r="H580" s="372"/>
      <c r="I580" s="492"/>
      <c r="J580" s="372"/>
      <c r="K580" s="569"/>
    </row>
    <row r="581" spans="7:11" s="495" customFormat="1">
      <c r="G581" s="377"/>
      <c r="H581" s="372"/>
      <c r="I581" s="492"/>
      <c r="J581" s="372"/>
      <c r="K581" s="569"/>
    </row>
    <row r="582" spans="7:11" s="495" customFormat="1">
      <c r="G582" s="377"/>
      <c r="H582" s="372"/>
      <c r="I582" s="492"/>
      <c r="J582" s="372"/>
      <c r="K582" s="569"/>
    </row>
    <row r="583" spans="7:11" s="495" customFormat="1">
      <c r="G583" s="377"/>
      <c r="H583" s="372"/>
      <c r="I583" s="492"/>
      <c r="J583" s="372"/>
      <c r="K583" s="569"/>
    </row>
    <row r="584" spans="7:11" s="495" customFormat="1">
      <c r="G584" s="377"/>
      <c r="H584" s="372"/>
      <c r="I584" s="492"/>
      <c r="J584" s="372"/>
      <c r="K584" s="569"/>
    </row>
    <row r="585" spans="7:11" s="495" customFormat="1">
      <c r="G585" s="377"/>
      <c r="H585" s="372"/>
      <c r="I585" s="492"/>
      <c r="J585" s="372"/>
      <c r="K585" s="569"/>
    </row>
    <row r="586" spans="7:11" s="495" customFormat="1">
      <c r="G586" s="377"/>
      <c r="H586" s="372"/>
      <c r="I586" s="492"/>
      <c r="J586" s="372"/>
      <c r="K586" s="569"/>
    </row>
    <row r="587" spans="7:11" s="495" customFormat="1">
      <c r="G587" s="377"/>
      <c r="H587" s="372"/>
      <c r="I587" s="492"/>
      <c r="J587" s="372"/>
      <c r="K587" s="569"/>
    </row>
    <row r="588" spans="7:11" s="495" customFormat="1">
      <c r="G588" s="377"/>
      <c r="H588" s="372"/>
      <c r="I588" s="492"/>
      <c r="J588" s="372"/>
      <c r="K588" s="569"/>
    </row>
    <row r="589" spans="7:11" s="495" customFormat="1">
      <c r="G589" s="377"/>
      <c r="H589" s="372"/>
      <c r="I589" s="492"/>
      <c r="J589" s="372"/>
      <c r="K589" s="569"/>
    </row>
    <row r="590" spans="7:11" s="495" customFormat="1">
      <c r="G590" s="377"/>
      <c r="H590" s="372"/>
      <c r="I590" s="492"/>
      <c r="J590" s="372"/>
      <c r="K590" s="569"/>
    </row>
    <row r="591" spans="7:11" s="495" customFormat="1">
      <c r="G591" s="377"/>
      <c r="H591" s="372"/>
      <c r="I591" s="492"/>
      <c r="J591" s="372"/>
      <c r="K591" s="569"/>
    </row>
    <row r="592" spans="7:11" s="495" customFormat="1">
      <c r="G592" s="377"/>
      <c r="H592" s="372"/>
      <c r="I592" s="492"/>
      <c r="J592" s="372"/>
      <c r="K592" s="569"/>
    </row>
    <row r="593" spans="7:11" s="495" customFormat="1">
      <c r="G593" s="377"/>
      <c r="H593" s="372"/>
      <c r="I593" s="492"/>
      <c r="J593" s="372"/>
      <c r="K593" s="569"/>
    </row>
    <row r="594" spans="7:11" s="495" customFormat="1">
      <c r="G594" s="377"/>
      <c r="H594" s="372"/>
      <c r="I594" s="492"/>
      <c r="J594" s="372"/>
      <c r="K594" s="569"/>
    </row>
    <row r="595" spans="7:11" s="495" customFormat="1">
      <c r="G595" s="377"/>
      <c r="H595" s="372"/>
      <c r="I595" s="492"/>
      <c r="J595" s="372"/>
      <c r="K595" s="569"/>
    </row>
    <row r="596" spans="7:11" s="495" customFormat="1">
      <c r="G596" s="377"/>
      <c r="H596" s="372"/>
      <c r="I596" s="492"/>
      <c r="J596" s="372"/>
      <c r="K596" s="569"/>
    </row>
    <row r="597" spans="7:11" s="495" customFormat="1">
      <c r="G597" s="377"/>
      <c r="H597" s="372"/>
      <c r="I597" s="492"/>
      <c r="J597" s="372"/>
      <c r="K597" s="569"/>
    </row>
    <row r="598" spans="7:11" s="495" customFormat="1">
      <c r="G598" s="377"/>
      <c r="H598" s="372"/>
      <c r="I598" s="492"/>
      <c r="J598" s="372"/>
      <c r="K598" s="569"/>
    </row>
    <row r="599" spans="7:11" s="495" customFormat="1">
      <c r="G599" s="377"/>
      <c r="H599" s="372"/>
      <c r="I599" s="492"/>
      <c r="J599" s="372"/>
      <c r="K599" s="569"/>
    </row>
    <row r="600" spans="7:11" s="495" customFormat="1">
      <c r="G600" s="377"/>
      <c r="H600" s="372"/>
      <c r="I600" s="492"/>
      <c r="J600" s="372"/>
      <c r="K600" s="569"/>
    </row>
    <row r="601" spans="7:11" s="495" customFormat="1">
      <c r="G601" s="377"/>
      <c r="H601" s="372"/>
      <c r="I601" s="492"/>
      <c r="J601" s="372"/>
      <c r="K601" s="569"/>
    </row>
    <row r="602" spans="7:11" s="495" customFormat="1">
      <c r="G602" s="377"/>
      <c r="H602" s="372"/>
      <c r="I602" s="492"/>
      <c r="J602" s="372"/>
      <c r="K602" s="569"/>
    </row>
    <row r="603" spans="7:11" s="495" customFormat="1">
      <c r="G603" s="377"/>
      <c r="H603" s="372"/>
      <c r="I603" s="492"/>
      <c r="J603" s="372"/>
      <c r="K603" s="569"/>
    </row>
    <row r="604" spans="7:11" s="495" customFormat="1">
      <c r="G604" s="377"/>
      <c r="H604" s="372"/>
      <c r="I604" s="492"/>
      <c r="J604" s="372"/>
      <c r="K604" s="569"/>
    </row>
    <row r="605" spans="7:11" s="495" customFormat="1">
      <c r="G605" s="377"/>
      <c r="H605" s="372"/>
      <c r="I605" s="492"/>
      <c r="J605" s="372"/>
      <c r="K605" s="569"/>
    </row>
    <row r="606" spans="7:11" s="495" customFormat="1">
      <c r="G606" s="377"/>
      <c r="H606" s="372"/>
      <c r="I606" s="492"/>
      <c r="J606" s="372"/>
      <c r="K606" s="569"/>
    </row>
    <row r="607" spans="7:11" s="495" customFormat="1">
      <c r="G607" s="377"/>
      <c r="H607" s="372"/>
      <c r="I607" s="492"/>
      <c r="J607" s="372"/>
      <c r="K607" s="569"/>
    </row>
    <row r="608" spans="7:11" s="495" customFormat="1">
      <c r="G608" s="377"/>
      <c r="H608" s="372"/>
      <c r="I608" s="492"/>
      <c r="J608" s="372"/>
      <c r="K608" s="569"/>
    </row>
    <row r="609" spans="7:11" s="495" customFormat="1">
      <c r="G609" s="377"/>
      <c r="H609" s="372"/>
      <c r="I609" s="492"/>
      <c r="J609" s="372"/>
      <c r="K609" s="569"/>
    </row>
    <row r="610" spans="7:11" s="495" customFormat="1">
      <c r="G610" s="377"/>
      <c r="H610" s="372"/>
      <c r="I610" s="492"/>
      <c r="J610" s="372"/>
      <c r="K610" s="569"/>
    </row>
    <row r="611" spans="7:11" s="495" customFormat="1">
      <c r="G611" s="377"/>
      <c r="H611" s="372"/>
      <c r="I611" s="492"/>
      <c r="J611" s="372"/>
      <c r="K611" s="569"/>
    </row>
    <row r="612" spans="7:11" s="495" customFormat="1">
      <c r="G612" s="377"/>
      <c r="H612" s="372"/>
      <c r="I612" s="492"/>
      <c r="J612" s="372"/>
      <c r="K612" s="569"/>
    </row>
    <row r="613" spans="7:11" s="495" customFormat="1">
      <c r="G613" s="377"/>
      <c r="H613" s="372"/>
      <c r="I613" s="492"/>
      <c r="J613" s="372"/>
      <c r="K613" s="569"/>
    </row>
    <row r="614" spans="7:11" s="495" customFormat="1">
      <c r="G614" s="377"/>
      <c r="H614" s="372"/>
      <c r="I614" s="492"/>
      <c r="J614" s="372"/>
      <c r="K614" s="569"/>
    </row>
    <row r="615" spans="7:11" s="495" customFormat="1">
      <c r="G615" s="377"/>
      <c r="H615" s="372"/>
      <c r="I615" s="492"/>
      <c r="J615" s="372"/>
      <c r="K615" s="569"/>
    </row>
    <row r="616" spans="7:11" s="495" customFormat="1">
      <c r="G616" s="377"/>
      <c r="H616" s="372"/>
      <c r="I616" s="492"/>
      <c r="J616" s="372"/>
      <c r="K616" s="569"/>
    </row>
    <row r="617" spans="7:11" s="495" customFormat="1">
      <c r="G617" s="377"/>
      <c r="H617" s="372"/>
      <c r="I617" s="492"/>
      <c r="J617" s="372"/>
      <c r="K617" s="569"/>
    </row>
    <row r="618" spans="7:11" s="495" customFormat="1">
      <c r="G618" s="377"/>
      <c r="H618" s="372"/>
      <c r="I618" s="492"/>
      <c r="J618" s="372"/>
      <c r="K618" s="569"/>
    </row>
    <row r="619" spans="7:11" s="495" customFormat="1">
      <c r="G619" s="377"/>
      <c r="H619" s="372"/>
      <c r="I619" s="492"/>
      <c r="J619" s="372"/>
      <c r="K619" s="569"/>
    </row>
    <row r="620" spans="7:11" s="495" customFormat="1">
      <c r="G620" s="377"/>
      <c r="H620" s="372"/>
      <c r="I620" s="492"/>
      <c r="J620" s="372"/>
      <c r="K620" s="569"/>
    </row>
    <row r="621" spans="7:11" s="495" customFormat="1">
      <c r="G621" s="377"/>
      <c r="H621" s="372"/>
      <c r="I621" s="492"/>
      <c r="J621" s="372"/>
      <c r="K621" s="569"/>
    </row>
    <row r="622" spans="7:11" s="495" customFormat="1">
      <c r="G622" s="377"/>
      <c r="H622" s="372"/>
      <c r="I622" s="492"/>
      <c r="J622" s="372"/>
      <c r="K622" s="569"/>
    </row>
    <row r="623" spans="7:11" s="495" customFormat="1">
      <c r="G623" s="377"/>
      <c r="H623" s="372"/>
      <c r="I623" s="492"/>
      <c r="J623" s="372"/>
      <c r="K623" s="569"/>
    </row>
    <row r="624" spans="7:11" s="495" customFormat="1">
      <c r="G624" s="377"/>
      <c r="H624" s="372"/>
      <c r="I624" s="492"/>
      <c r="J624" s="372"/>
      <c r="K624" s="569"/>
    </row>
    <row r="625" spans="7:11" s="495" customFormat="1">
      <c r="G625" s="377"/>
      <c r="H625" s="372"/>
      <c r="I625" s="492"/>
      <c r="J625" s="372"/>
      <c r="K625" s="569"/>
    </row>
    <row r="626" spans="7:11" s="495" customFormat="1">
      <c r="G626" s="377"/>
      <c r="H626" s="372"/>
      <c r="I626" s="492"/>
      <c r="J626" s="372"/>
      <c r="K626" s="569"/>
    </row>
    <row r="627" spans="7:11" s="495" customFormat="1">
      <c r="G627" s="377"/>
      <c r="H627" s="372"/>
      <c r="I627" s="492"/>
      <c r="J627" s="372"/>
      <c r="K627" s="569"/>
    </row>
    <row r="628" spans="7:11" s="495" customFormat="1">
      <c r="G628" s="377"/>
      <c r="H628" s="372"/>
      <c r="I628" s="492"/>
      <c r="J628" s="372"/>
      <c r="K628" s="569"/>
    </row>
    <row r="629" spans="7:11" s="495" customFormat="1">
      <c r="G629" s="377"/>
      <c r="H629" s="372"/>
      <c r="I629" s="492"/>
      <c r="J629" s="372"/>
      <c r="K629" s="569"/>
    </row>
    <row r="630" spans="7:11" s="495" customFormat="1">
      <c r="G630" s="377"/>
      <c r="H630" s="372"/>
      <c r="I630" s="492"/>
      <c r="J630" s="372"/>
      <c r="K630" s="569"/>
    </row>
    <row r="631" spans="7:11" s="495" customFormat="1">
      <c r="G631" s="377"/>
      <c r="H631" s="372"/>
      <c r="I631" s="492"/>
      <c r="J631" s="372"/>
      <c r="K631" s="569"/>
    </row>
    <row r="632" spans="7:11" s="495" customFormat="1">
      <c r="G632" s="377"/>
      <c r="H632" s="372"/>
      <c r="I632" s="492"/>
      <c r="J632" s="372"/>
      <c r="K632" s="569"/>
    </row>
    <row r="633" spans="7:11" s="495" customFormat="1">
      <c r="G633" s="377"/>
      <c r="H633" s="372"/>
      <c r="I633" s="492"/>
      <c r="J633" s="372"/>
      <c r="K633" s="569"/>
    </row>
    <row r="634" spans="7:11" s="495" customFormat="1">
      <c r="G634" s="377"/>
      <c r="H634" s="372"/>
      <c r="I634" s="492"/>
      <c r="J634" s="372"/>
      <c r="K634" s="569"/>
    </row>
    <row r="635" spans="7:11" s="495" customFormat="1">
      <c r="G635" s="377"/>
      <c r="H635" s="372"/>
      <c r="I635" s="492"/>
      <c r="J635" s="372"/>
      <c r="K635" s="569"/>
    </row>
    <row r="636" spans="7:11" s="495" customFormat="1">
      <c r="G636" s="377"/>
      <c r="H636" s="372"/>
      <c r="I636" s="492"/>
      <c r="J636" s="372"/>
      <c r="K636" s="569"/>
    </row>
    <row r="637" spans="7:11" s="495" customFormat="1">
      <c r="G637" s="377"/>
      <c r="H637" s="372"/>
      <c r="I637" s="492"/>
      <c r="J637" s="372"/>
      <c r="K637" s="569"/>
    </row>
    <row r="638" spans="7:11" s="495" customFormat="1">
      <c r="G638" s="377"/>
      <c r="H638" s="372"/>
      <c r="I638" s="492"/>
      <c r="J638" s="372"/>
      <c r="K638" s="569"/>
    </row>
    <row r="639" spans="7:11" s="495" customFormat="1">
      <c r="G639" s="377"/>
      <c r="H639" s="372"/>
      <c r="I639" s="492"/>
      <c r="J639" s="372"/>
      <c r="K639" s="569"/>
    </row>
    <row r="640" spans="7:11" s="495" customFormat="1">
      <c r="G640" s="377"/>
      <c r="H640" s="372"/>
      <c r="I640" s="492"/>
      <c r="J640" s="372"/>
      <c r="K640" s="569"/>
    </row>
    <row r="641" spans="7:11" s="495" customFormat="1">
      <c r="G641" s="377"/>
      <c r="H641" s="372"/>
      <c r="I641" s="492"/>
      <c r="J641" s="372"/>
      <c r="K641" s="569"/>
    </row>
    <row r="642" spans="7:11" s="495" customFormat="1">
      <c r="G642" s="377"/>
      <c r="H642" s="372"/>
      <c r="I642" s="492"/>
      <c r="J642" s="372"/>
      <c r="K642" s="569"/>
    </row>
    <row r="643" spans="7:11" s="495" customFormat="1">
      <c r="G643" s="377"/>
      <c r="H643" s="372"/>
      <c r="I643" s="492"/>
      <c r="J643" s="372"/>
      <c r="K643" s="569"/>
    </row>
    <row r="644" spans="7:11" s="495" customFormat="1">
      <c r="G644" s="377"/>
      <c r="H644" s="372"/>
      <c r="I644" s="492"/>
      <c r="J644" s="372"/>
      <c r="K644" s="569"/>
    </row>
    <row r="645" spans="7:11" s="495" customFormat="1">
      <c r="G645" s="377"/>
      <c r="H645" s="372"/>
      <c r="I645" s="492"/>
      <c r="J645" s="372"/>
      <c r="K645" s="569"/>
    </row>
    <row r="646" spans="7:11" s="495" customFormat="1">
      <c r="G646" s="377"/>
      <c r="H646" s="372"/>
      <c r="I646" s="492"/>
      <c r="J646" s="372"/>
      <c r="K646" s="569"/>
    </row>
    <row r="647" spans="7:11" s="495" customFormat="1">
      <c r="G647" s="377"/>
      <c r="H647" s="372"/>
      <c r="I647" s="492"/>
      <c r="J647" s="372"/>
      <c r="K647" s="569"/>
    </row>
    <row r="648" spans="7:11" s="495" customFormat="1">
      <c r="G648" s="377"/>
      <c r="H648" s="372"/>
      <c r="I648" s="492"/>
      <c r="J648" s="372"/>
      <c r="K648" s="569"/>
    </row>
    <row r="649" spans="7:11" s="495" customFormat="1">
      <c r="G649" s="377"/>
      <c r="H649" s="372"/>
      <c r="I649" s="492"/>
      <c r="J649" s="372"/>
      <c r="K649" s="569"/>
    </row>
    <row r="650" spans="7:11" s="495" customFormat="1">
      <c r="G650" s="377"/>
      <c r="H650" s="372"/>
      <c r="I650" s="492"/>
      <c r="J650" s="372"/>
      <c r="K650" s="569"/>
    </row>
    <row r="651" spans="7:11" s="495" customFormat="1">
      <c r="G651" s="377"/>
      <c r="H651" s="372"/>
      <c r="I651" s="492"/>
      <c r="J651" s="372"/>
      <c r="K651" s="569"/>
    </row>
    <row r="652" spans="7:11" s="495" customFormat="1">
      <c r="G652" s="377"/>
      <c r="H652" s="372"/>
      <c r="I652" s="492"/>
      <c r="J652" s="372"/>
      <c r="K652" s="569"/>
    </row>
    <row r="653" spans="7:11" s="495" customFormat="1">
      <c r="G653" s="377"/>
      <c r="H653" s="372"/>
      <c r="I653" s="492"/>
      <c r="J653" s="372"/>
      <c r="K653" s="569"/>
    </row>
    <row r="654" spans="7:11" s="495" customFormat="1">
      <c r="G654" s="377"/>
      <c r="H654" s="372"/>
      <c r="I654" s="492"/>
      <c r="J654" s="372"/>
      <c r="K654" s="569"/>
    </row>
    <row r="655" spans="7:11" s="495" customFormat="1">
      <c r="G655" s="377"/>
      <c r="H655" s="372"/>
      <c r="I655" s="492"/>
      <c r="J655" s="372"/>
      <c r="K655" s="569"/>
    </row>
    <row r="656" spans="7:11" s="495" customFormat="1">
      <c r="G656" s="377"/>
      <c r="H656" s="372"/>
      <c r="I656" s="492"/>
      <c r="J656" s="372"/>
      <c r="K656" s="569"/>
    </row>
    <row r="657" spans="7:11" s="495" customFormat="1">
      <c r="G657" s="377"/>
      <c r="H657" s="372"/>
      <c r="I657" s="492"/>
      <c r="J657" s="372"/>
      <c r="K657" s="569"/>
    </row>
    <row r="658" spans="7:11" s="495" customFormat="1">
      <c r="G658" s="377"/>
      <c r="H658" s="372"/>
      <c r="I658" s="492"/>
      <c r="J658" s="372"/>
      <c r="K658" s="569"/>
    </row>
    <row r="659" spans="7:11" s="495" customFormat="1">
      <c r="G659" s="377"/>
      <c r="H659" s="372"/>
      <c r="I659" s="492"/>
      <c r="J659" s="372"/>
      <c r="K659" s="569"/>
    </row>
    <row r="660" spans="7:11" s="495" customFormat="1">
      <c r="G660" s="377"/>
      <c r="H660" s="372"/>
      <c r="I660" s="492"/>
      <c r="J660" s="372"/>
      <c r="K660" s="569"/>
    </row>
    <row r="661" spans="7:11" s="495" customFormat="1">
      <c r="G661" s="377"/>
      <c r="H661" s="372"/>
      <c r="I661" s="492"/>
      <c r="J661" s="372"/>
      <c r="K661" s="569"/>
    </row>
    <row r="662" spans="7:11" s="495" customFormat="1">
      <c r="G662" s="377"/>
      <c r="H662" s="372"/>
      <c r="I662" s="492"/>
      <c r="J662" s="372"/>
      <c r="K662" s="569"/>
    </row>
    <row r="663" spans="7:11" s="495" customFormat="1">
      <c r="G663" s="377"/>
      <c r="H663" s="372"/>
      <c r="I663" s="492"/>
      <c r="J663" s="372"/>
      <c r="K663" s="569"/>
    </row>
    <row r="664" spans="7:11" s="495" customFormat="1">
      <c r="G664" s="377"/>
      <c r="H664" s="372"/>
      <c r="I664" s="492"/>
      <c r="J664" s="372"/>
      <c r="K664" s="569"/>
    </row>
    <row r="665" spans="7:11" s="495" customFormat="1">
      <c r="G665" s="377"/>
      <c r="H665" s="372"/>
      <c r="I665" s="492"/>
      <c r="J665" s="372"/>
      <c r="K665" s="569"/>
    </row>
    <row r="666" spans="7:11" s="495" customFormat="1">
      <c r="G666" s="377"/>
      <c r="H666" s="372"/>
      <c r="I666" s="492"/>
      <c r="J666" s="372"/>
      <c r="K666" s="569"/>
    </row>
    <row r="667" spans="7:11" s="495" customFormat="1">
      <c r="G667" s="377"/>
      <c r="H667" s="372"/>
      <c r="I667" s="492"/>
      <c r="J667" s="372"/>
      <c r="K667" s="569"/>
    </row>
    <row r="668" spans="7:11" s="495" customFormat="1">
      <c r="G668" s="377"/>
      <c r="H668" s="372"/>
      <c r="I668" s="492"/>
      <c r="J668" s="372"/>
      <c r="K668" s="569"/>
    </row>
    <row r="669" spans="7:11" s="495" customFormat="1">
      <c r="G669" s="377"/>
      <c r="H669" s="372"/>
      <c r="I669" s="492"/>
      <c r="J669" s="372"/>
      <c r="K669" s="569"/>
    </row>
    <row r="670" spans="7:11" s="495" customFormat="1">
      <c r="G670" s="377"/>
      <c r="H670" s="372"/>
      <c r="I670" s="492"/>
      <c r="J670" s="372"/>
      <c r="K670" s="569"/>
    </row>
    <row r="671" spans="7:11" s="495" customFormat="1">
      <c r="G671" s="377"/>
      <c r="H671" s="372"/>
      <c r="I671" s="492"/>
      <c r="J671" s="372"/>
      <c r="K671" s="569"/>
    </row>
    <row r="672" spans="7:11" s="495" customFormat="1">
      <c r="G672" s="377"/>
      <c r="H672" s="372"/>
      <c r="I672" s="492"/>
      <c r="J672" s="372"/>
      <c r="K672" s="569"/>
    </row>
    <row r="673" spans="7:11" s="495" customFormat="1">
      <c r="G673" s="377"/>
      <c r="H673" s="372"/>
      <c r="I673" s="492"/>
      <c r="J673" s="372"/>
      <c r="K673" s="569"/>
    </row>
    <row r="674" spans="7:11" s="495" customFormat="1">
      <c r="G674" s="377"/>
      <c r="H674" s="372"/>
      <c r="I674" s="492"/>
      <c r="J674" s="372"/>
      <c r="K674" s="569"/>
    </row>
    <row r="675" spans="7:11" s="495" customFormat="1">
      <c r="G675" s="377"/>
      <c r="H675" s="372"/>
      <c r="I675" s="492"/>
      <c r="J675" s="372"/>
      <c r="K675" s="569"/>
    </row>
    <row r="676" spans="7:11" s="495" customFormat="1">
      <c r="G676" s="377"/>
      <c r="H676" s="372"/>
      <c r="I676" s="492"/>
      <c r="J676" s="372"/>
      <c r="K676" s="569"/>
    </row>
    <row r="677" spans="7:11" s="495" customFormat="1">
      <c r="G677" s="377"/>
      <c r="H677" s="372"/>
      <c r="I677" s="492"/>
      <c r="J677" s="372"/>
      <c r="K677" s="569"/>
    </row>
    <row r="678" spans="7:11" s="495" customFormat="1">
      <c r="G678" s="377"/>
      <c r="H678" s="372"/>
      <c r="I678" s="492"/>
      <c r="J678" s="372"/>
      <c r="K678" s="569"/>
    </row>
    <row r="679" spans="7:11" s="495" customFormat="1">
      <c r="G679" s="377"/>
      <c r="H679" s="372"/>
      <c r="I679" s="492"/>
      <c r="J679" s="372"/>
      <c r="K679" s="569"/>
    </row>
    <row r="680" spans="7:11" s="495" customFormat="1">
      <c r="G680" s="377"/>
      <c r="H680" s="372"/>
      <c r="I680" s="492"/>
      <c r="J680" s="372"/>
      <c r="K680" s="569"/>
    </row>
    <row r="681" spans="7:11" s="495" customFormat="1">
      <c r="G681" s="377"/>
      <c r="H681" s="372"/>
      <c r="I681" s="492"/>
      <c r="J681" s="372"/>
      <c r="K681" s="569"/>
    </row>
    <row r="682" spans="7:11" s="495" customFormat="1">
      <c r="G682" s="377"/>
      <c r="H682" s="372"/>
      <c r="I682" s="492"/>
      <c r="J682" s="372"/>
      <c r="K682" s="569"/>
    </row>
    <row r="683" spans="7:11" s="495" customFormat="1">
      <c r="G683" s="377"/>
      <c r="H683" s="372"/>
      <c r="I683" s="492"/>
      <c r="J683" s="372"/>
      <c r="K683" s="569"/>
    </row>
    <row r="684" spans="7:11" s="495" customFormat="1">
      <c r="G684" s="377"/>
      <c r="H684" s="372"/>
      <c r="I684" s="492"/>
      <c r="J684" s="372"/>
      <c r="K684" s="569"/>
    </row>
    <row r="685" spans="7:11" s="495" customFormat="1">
      <c r="G685" s="377"/>
      <c r="H685" s="372"/>
      <c r="I685" s="492"/>
      <c r="J685" s="372"/>
      <c r="K685" s="569"/>
    </row>
    <row r="686" spans="7:11" s="495" customFormat="1">
      <c r="G686" s="377"/>
      <c r="H686" s="372"/>
      <c r="I686" s="492"/>
      <c r="J686" s="372"/>
      <c r="K686" s="569"/>
    </row>
    <row r="687" spans="7:11" s="495" customFormat="1">
      <c r="G687" s="377"/>
      <c r="H687" s="372"/>
      <c r="I687" s="492"/>
      <c r="J687" s="372"/>
      <c r="K687" s="569"/>
    </row>
    <row r="688" spans="7:11" s="495" customFormat="1">
      <c r="G688" s="377"/>
      <c r="H688" s="372"/>
      <c r="I688" s="492"/>
      <c r="J688" s="372"/>
      <c r="K688" s="569"/>
    </row>
    <row r="689" spans="7:11" s="495" customFormat="1">
      <c r="G689" s="377"/>
      <c r="H689" s="372"/>
      <c r="I689" s="492"/>
      <c r="J689" s="372"/>
      <c r="K689" s="569"/>
    </row>
    <row r="690" spans="7:11" s="495" customFormat="1">
      <c r="G690" s="377"/>
      <c r="H690" s="372"/>
      <c r="I690" s="492"/>
      <c r="J690" s="372"/>
      <c r="K690" s="569"/>
    </row>
    <row r="691" spans="7:11" s="495" customFormat="1">
      <c r="G691" s="377"/>
      <c r="H691" s="372"/>
      <c r="I691" s="492"/>
      <c r="J691" s="372"/>
      <c r="K691" s="569"/>
    </row>
    <row r="692" spans="7:11" s="495" customFormat="1">
      <c r="G692" s="377"/>
      <c r="H692" s="372"/>
      <c r="I692" s="492"/>
      <c r="J692" s="372"/>
      <c r="K692" s="569"/>
    </row>
    <row r="693" spans="7:11" s="495" customFormat="1">
      <c r="G693" s="377"/>
      <c r="H693" s="372"/>
      <c r="I693" s="492"/>
      <c r="J693" s="372"/>
      <c r="K693" s="569"/>
    </row>
    <row r="694" spans="7:11" s="495" customFormat="1">
      <c r="G694" s="377"/>
      <c r="H694" s="372"/>
      <c r="I694" s="492"/>
      <c r="J694" s="372"/>
      <c r="K694" s="569"/>
    </row>
    <row r="695" spans="7:11" s="495" customFormat="1">
      <c r="G695" s="377"/>
      <c r="H695" s="372"/>
      <c r="I695" s="492"/>
      <c r="J695" s="372"/>
      <c r="K695" s="569"/>
    </row>
    <row r="696" spans="7:11" s="495" customFormat="1">
      <c r="G696" s="377"/>
      <c r="H696" s="372"/>
      <c r="I696" s="492"/>
      <c r="J696" s="372"/>
      <c r="K696" s="569"/>
    </row>
    <row r="697" spans="7:11" s="495" customFormat="1">
      <c r="G697" s="377"/>
      <c r="H697" s="372"/>
      <c r="I697" s="492"/>
      <c r="J697" s="372"/>
      <c r="K697" s="569"/>
    </row>
    <row r="698" spans="7:11" s="495" customFormat="1">
      <c r="G698" s="377"/>
      <c r="H698" s="372"/>
      <c r="I698" s="492"/>
      <c r="J698" s="372"/>
      <c r="K698" s="569"/>
    </row>
    <row r="699" spans="7:11" s="495" customFormat="1">
      <c r="G699" s="377"/>
      <c r="H699" s="372"/>
      <c r="I699" s="492"/>
      <c r="J699" s="372"/>
      <c r="K699" s="569"/>
    </row>
    <row r="700" spans="7:11" s="495" customFormat="1">
      <c r="G700" s="377"/>
      <c r="H700" s="372"/>
      <c r="I700" s="492"/>
      <c r="J700" s="372"/>
      <c r="K700" s="569"/>
    </row>
    <row r="701" spans="7:11" s="495" customFormat="1">
      <c r="G701" s="377"/>
      <c r="H701" s="372"/>
      <c r="I701" s="492"/>
      <c r="J701" s="372"/>
      <c r="K701" s="569"/>
    </row>
    <row r="702" spans="7:11" s="495" customFormat="1">
      <c r="G702" s="377"/>
      <c r="H702" s="372"/>
      <c r="I702" s="492"/>
      <c r="J702" s="372"/>
      <c r="K702" s="569"/>
    </row>
    <row r="703" spans="7:11" s="495" customFormat="1">
      <c r="G703" s="377"/>
      <c r="H703" s="372"/>
      <c r="I703" s="492"/>
      <c r="J703" s="372"/>
      <c r="K703" s="569"/>
    </row>
    <row r="704" spans="7:11" s="495" customFormat="1">
      <c r="G704" s="377"/>
      <c r="H704" s="372"/>
      <c r="I704" s="492"/>
      <c r="J704" s="372"/>
      <c r="K704" s="569"/>
    </row>
    <row r="705" spans="7:11" s="495" customFormat="1">
      <c r="G705" s="377"/>
      <c r="H705" s="372"/>
      <c r="I705" s="492"/>
      <c r="J705" s="372"/>
      <c r="K705" s="569"/>
    </row>
    <row r="706" spans="7:11" s="495" customFormat="1">
      <c r="G706" s="377"/>
      <c r="H706" s="372"/>
      <c r="I706" s="492"/>
      <c r="J706" s="372"/>
      <c r="K706" s="569"/>
    </row>
    <row r="707" spans="7:11" s="495" customFormat="1">
      <c r="G707" s="377"/>
      <c r="H707" s="372"/>
      <c r="I707" s="492"/>
      <c r="J707" s="372"/>
      <c r="K707" s="569"/>
    </row>
    <row r="708" spans="7:11" s="495" customFormat="1">
      <c r="G708" s="377"/>
      <c r="H708" s="372"/>
      <c r="I708" s="492"/>
      <c r="J708" s="372"/>
      <c r="K708" s="569"/>
    </row>
    <row r="709" spans="7:11" s="495" customFormat="1">
      <c r="G709" s="377"/>
      <c r="H709" s="372"/>
      <c r="I709" s="492"/>
      <c r="J709" s="372"/>
      <c r="K709" s="569"/>
    </row>
    <row r="710" spans="7:11" s="495" customFormat="1">
      <c r="G710" s="377"/>
      <c r="H710" s="372"/>
      <c r="I710" s="492"/>
      <c r="J710" s="372"/>
      <c r="K710" s="569"/>
    </row>
    <row r="711" spans="7:11" s="495" customFormat="1">
      <c r="G711" s="377"/>
      <c r="H711" s="372"/>
      <c r="I711" s="492"/>
      <c r="J711" s="372"/>
      <c r="K711" s="569"/>
    </row>
    <row r="712" spans="7:11" s="495" customFormat="1">
      <c r="G712" s="377"/>
      <c r="H712" s="372"/>
      <c r="I712" s="492"/>
      <c r="J712" s="372"/>
      <c r="K712" s="569"/>
    </row>
    <row r="713" spans="7:11" s="495" customFormat="1">
      <c r="G713" s="377"/>
      <c r="H713" s="372"/>
      <c r="I713" s="492"/>
      <c r="J713" s="372"/>
      <c r="K713" s="569"/>
    </row>
    <row r="714" spans="7:11" s="495" customFormat="1">
      <c r="G714" s="377"/>
      <c r="H714" s="372"/>
      <c r="I714" s="492"/>
      <c r="J714" s="372"/>
      <c r="K714" s="569"/>
    </row>
    <row r="715" spans="7:11" s="495" customFormat="1">
      <c r="G715" s="377"/>
      <c r="H715" s="372"/>
      <c r="I715" s="492"/>
      <c r="J715" s="372"/>
      <c r="K715" s="569"/>
    </row>
    <row r="716" spans="7:11" s="495" customFormat="1">
      <c r="G716" s="377"/>
      <c r="H716" s="372"/>
      <c r="I716" s="492"/>
      <c r="J716" s="372"/>
      <c r="K716" s="569"/>
    </row>
    <row r="717" spans="7:11" s="495" customFormat="1">
      <c r="G717" s="377"/>
      <c r="H717" s="372"/>
      <c r="I717" s="492"/>
      <c r="J717" s="372"/>
      <c r="K717" s="569"/>
    </row>
    <row r="718" spans="7:11" s="495" customFormat="1">
      <c r="G718" s="377"/>
      <c r="H718" s="372"/>
      <c r="I718" s="492"/>
      <c r="J718" s="372"/>
      <c r="K718" s="569"/>
    </row>
    <row r="719" spans="7:11" s="495" customFormat="1">
      <c r="G719" s="377"/>
      <c r="H719" s="372"/>
      <c r="I719" s="492"/>
      <c r="J719" s="372"/>
      <c r="K719" s="569"/>
    </row>
    <row r="720" spans="7:11" s="495" customFormat="1">
      <c r="G720" s="377"/>
      <c r="H720" s="372"/>
      <c r="I720" s="492"/>
      <c r="J720" s="372"/>
      <c r="K720" s="569"/>
    </row>
    <row r="721" spans="7:11" s="495" customFormat="1">
      <c r="G721" s="377"/>
      <c r="H721" s="372"/>
      <c r="I721" s="492"/>
      <c r="J721" s="372"/>
      <c r="K721" s="569"/>
    </row>
    <row r="722" spans="7:11" s="495" customFormat="1">
      <c r="G722" s="377"/>
      <c r="H722" s="372"/>
      <c r="I722" s="492"/>
      <c r="J722" s="372"/>
      <c r="K722" s="569"/>
    </row>
    <row r="723" spans="7:11" s="495" customFormat="1">
      <c r="G723" s="377"/>
      <c r="H723" s="372"/>
      <c r="I723" s="492"/>
      <c r="J723" s="372"/>
      <c r="K723" s="569"/>
    </row>
    <row r="724" spans="7:11" s="495" customFormat="1">
      <c r="G724" s="377"/>
      <c r="H724" s="372"/>
      <c r="I724" s="492"/>
      <c r="J724" s="372"/>
      <c r="K724" s="569"/>
    </row>
    <row r="725" spans="7:11" s="495" customFormat="1">
      <c r="G725" s="377"/>
      <c r="H725" s="372"/>
      <c r="I725" s="492"/>
      <c r="J725" s="372"/>
      <c r="K725" s="569"/>
    </row>
    <row r="726" spans="7:11" s="495" customFormat="1">
      <c r="G726" s="377"/>
      <c r="H726" s="372"/>
      <c r="I726" s="492"/>
      <c r="J726" s="372"/>
      <c r="K726" s="569"/>
    </row>
    <row r="727" spans="7:11" s="495" customFormat="1">
      <c r="G727" s="377"/>
      <c r="H727" s="372"/>
      <c r="I727" s="492"/>
      <c r="J727" s="372"/>
      <c r="K727" s="569"/>
    </row>
    <row r="728" spans="7:11" s="495" customFormat="1">
      <c r="G728" s="377"/>
      <c r="H728" s="372"/>
      <c r="I728" s="492"/>
      <c r="J728" s="372"/>
      <c r="K728" s="569"/>
    </row>
    <row r="729" spans="7:11" s="495" customFormat="1">
      <c r="G729" s="377"/>
      <c r="H729" s="372"/>
      <c r="I729" s="492"/>
      <c r="J729" s="372"/>
      <c r="K729" s="569"/>
    </row>
    <row r="730" spans="7:11" s="495" customFormat="1">
      <c r="G730" s="377"/>
      <c r="H730" s="372"/>
      <c r="I730" s="492"/>
      <c r="J730" s="372"/>
      <c r="K730" s="569"/>
    </row>
    <row r="731" spans="7:11" s="495" customFormat="1">
      <c r="G731" s="377"/>
      <c r="H731" s="372"/>
      <c r="I731" s="492"/>
      <c r="J731" s="372"/>
      <c r="K731" s="569"/>
    </row>
    <row r="732" spans="7:11" s="495" customFormat="1">
      <c r="G732" s="377"/>
      <c r="H732" s="372"/>
      <c r="I732" s="492"/>
      <c r="J732" s="372"/>
      <c r="K732" s="569"/>
    </row>
  </sheetData>
  <mergeCells count="3">
    <mergeCell ref="C1:N1"/>
    <mergeCell ref="C2:N2"/>
    <mergeCell ref="C3:N3"/>
  </mergeCells>
  <printOptions horizontalCentered="1"/>
  <pageMargins left="0.15748031496062992" right="0.15748031496062992" top="0.31" bottom="0.38" header="0.17" footer="0.15748031496062992"/>
  <pageSetup scale="74" firstPageNumber="2" orientation="portrait" useFirstPageNumber="1" r:id="rId1"/>
  <headerFooter>
    <oddFooter>&amp;C&amp;P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25"/>
  <sheetViews>
    <sheetView topLeftCell="A104" zoomScaleNormal="100" workbookViewId="0">
      <selection activeCell="I117" sqref="I117:I124"/>
    </sheetView>
  </sheetViews>
  <sheetFormatPr defaultColWidth="8" defaultRowHeight="12.6"/>
  <cols>
    <col min="1" max="1" width="1.5703125" style="36" bestFit="1" customWidth="1"/>
    <col min="2" max="2" width="3.5703125" style="36" hidden="1" customWidth="1"/>
    <col min="3" max="3" width="50.85546875" style="36" customWidth="1"/>
    <col min="4" max="4" width="21.85546875" style="191" customWidth="1"/>
    <col min="5" max="5" width="8.85546875" style="36" hidden="1" customWidth="1"/>
    <col min="6" max="6" width="0.85546875" style="36" customWidth="1"/>
    <col min="7" max="7" width="8" style="36" hidden="1" customWidth="1"/>
    <col min="8" max="8" width="49.7109375" style="36" bestFit="1" customWidth="1"/>
    <col min="9" max="9" width="17.85546875" style="191" customWidth="1"/>
    <col min="10" max="10" width="1.28515625" style="36" customWidth="1"/>
    <col min="11" max="11" width="8" style="36" hidden="1" customWidth="1"/>
    <col min="12" max="12" width="18.140625" style="36" bestFit="1" customWidth="1"/>
    <col min="13" max="13" width="15.42578125" style="36" bestFit="1" customWidth="1"/>
    <col min="14" max="15" width="8" style="36" customWidth="1"/>
    <col min="16" max="17" width="14.5703125" style="36" bestFit="1" customWidth="1"/>
    <col min="18" max="256" width="8" style="36"/>
    <col min="257" max="258" width="1.5703125" style="36" customWidth="1"/>
    <col min="259" max="259" width="41.28515625" style="36" customWidth="1"/>
    <col min="260" max="260" width="15" style="36" customWidth="1"/>
    <col min="261" max="261" width="0.7109375" style="36" customWidth="1"/>
    <col min="262" max="262" width="0.85546875" style="36" customWidth="1"/>
    <col min="263" max="263" width="1.28515625" style="36" customWidth="1"/>
    <col min="264" max="264" width="51.140625" style="36" bestFit="1" customWidth="1"/>
    <col min="265" max="265" width="16.5703125" style="36" bestFit="1" customWidth="1"/>
    <col min="266" max="266" width="1.28515625" style="36" customWidth="1"/>
    <col min="267" max="267" width="8" style="36" customWidth="1"/>
    <col min="268" max="268" width="18.140625" style="36" bestFit="1" customWidth="1"/>
    <col min="269" max="271" width="8" style="36" customWidth="1"/>
    <col min="272" max="273" width="14.5703125" style="36" bestFit="1" customWidth="1"/>
    <col min="274" max="512" width="8" style="36"/>
    <col min="513" max="514" width="1.5703125" style="36" customWidth="1"/>
    <col min="515" max="515" width="41.28515625" style="36" customWidth="1"/>
    <col min="516" max="516" width="15" style="36" customWidth="1"/>
    <col min="517" max="517" width="0.7109375" style="36" customWidth="1"/>
    <col min="518" max="518" width="0.85546875" style="36" customWidth="1"/>
    <col min="519" max="519" width="1.28515625" style="36" customWidth="1"/>
    <col min="520" max="520" width="51.140625" style="36" bestFit="1" customWidth="1"/>
    <col min="521" max="521" width="16.5703125" style="36" bestFit="1" customWidth="1"/>
    <col min="522" max="522" width="1.28515625" style="36" customWidth="1"/>
    <col min="523" max="523" width="8" style="36" customWidth="1"/>
    <col min="524" max="524" width="18.140625" style="36" bestFit="1" customWidth="1"/>
    <col min="525" max="527" width="8" style="36" customWidth="1"/>
    <col min="528" max="529" width="14.5703125" style="36" bestFit="1" customWidth="1"/>
    <col min="530" max="768" width="8" style="36"/>
    <col min="769" max="770" width="1.5703125" style="36" customWidth="1"/>
    <col min="771" max="771" width="41.28515625" style="36" customWidth="1"/>
    <col min="772" max="772" width="15" style="36" customWidth="1"/>
    <col min="773" max="773" width="0.7109375" style="36" customWidth="1"/>
    <col min="774" max="774" width="0.85546875" style="36" customWidth="1"/>
    <col min="775" max="775" width="1.28515625" style="36" customWidth="1"/>
    <col min="776" max="776" width="51.140625" style="36" bestFit="1" customWidth="1"/>
    <col min="777" max="777" width="16.5703125" style="36" bestFit="1" customWidth="1"/>
    <col min="778" max="778" width="1.28515625" style="36" customWidth="1"/>
    <col min="779" max="779" width="8" style="36" customWidth="1"/>
    <col min="780" max="780" width="18.140625" style="36" bestFit="1" customWidth="1"/>
    <col min="781" max="783" width="8" style="36" customWidth="1"/>
    <col min="784" max="785" width="14.5703125" style="36" bestFit="1" customWidth="1"/>
    <col min="786" max="1024" width="8" style="36"/>
    <col min="1025" max="1026" width="1.5703125" style="36" customWidth="1"/>
    <col min="1027" max="1027" width="41.28515625" style="36" customWidth="1"/>
    <col min="1028" max="1028" width="15" style="36" customWidth="1"/>
    <col min="1029" max="1029" width="0.7109375" style="36" customWidth="1"/>
    <col min="1030" max="1030" width="0.85546875" style="36" customWidth="1"/>
    <col min="1031" max="1031" width="1.28515625" style="36" customWidth="1"/>
    <col min="1032" max="1032" width="51.140625" style="36" bestFit="1" customWidth="1"/>
    <col min="1033" max="1033" width="16.5703125" style="36" bestFit="1" customWidth="1"/>
    <col min="1034" max="1034" width="1.28515625" style="36" customWidth="1"/>
    <col min="1035" max="1035" width="8" style="36" customWidth="1"/>
    <col min="1036" max="1036" width="18.140625" style="36" bestFit="1" customWidth="1"/>
    <col min="1037" max="1039" width="8" style="36" customWidth="1"/>
    <col min="1040" max="1041" width="14.5703125" style="36" bestFit="1" customWidth="1"/>
    <col min="1042" max="1280" width="8" style="36"/>
    <col min="1281" max="1282" width="1.5703125" style="36" customWidth="1"/>
    <col min="1283" max="1283" width="41.28515625" style="36" customWidth="1"/>
    <col min="1284" max="1284" width="15" style="36" customWidth="1"/>
    <col min="1285" max="1285" width="0.7109375" style="36" customWidth="1"/>
    <col min="1286" max="1286" width="0.85546875" style="36" customWidth="1"/>
    <col min="1287" max="1287" width="1.28515625" style="36" customWidth="1"/>
    <col min="1288" max="1288" width="51.140625" style="36" bestFit="1" customWidth="1"/>
    <col min="1289" max="1289" width="16.5703125" style="36" bestFit="1" customWidth="1"/>
    <col min="1290" max="1290" width="1.28515625" style="36" customWidth="1"/>
    <col min="1291" max="1291" width="8" style="36" customWidth="1"/>
    <col min="1292" max="1292" width="18.140625" style="36" bestFit="1" customWidth="1"/>
    <col min="1293" max="1295" width="8" style="36" customWidth="1"/>
    <col min="1296" max="1297" width="14.5703125" style="36" bestFit="1" customWidth="1"/>
    <col min="1298" max="1536" width="8" style="36"/>
    <col min="1537" max="1538" width="1.5703125" style="36" customWidth="1"/>
    <col min="1539" max="1539" width="41.28515625" style="36" customWidth="1"/>
    <col min="1540" max="1540" width="15" style="36" customWidth="1"/>
    <col min="1541" max="1541" width="0.7109375" style="36" customWidth="1"/>
    <col min="1542" max="1542" width="0.85546875" style="36" customWidth="1"/>
    <col min="1543" max="1543" width="1.28515625" style="36" customWidth="1"/>
    <col min="1544" max="1544" width="51.140625" style="36" bestFit="1" customWidth="1"/>
    <col min="1545" max="1545" width="16.5703125" style="36" bestFit="1" customWidth="1"/>
    <col min="1546" max="1546" width="1.28515625" style="36" customWidth="1"/>
    <col min="1547" max="1547" width="8" style="36" customWidth="1"/>
    <col min="1548" max="1548" width="18.140625" style="36" bestFit="1" customWidth="1"/>
    <col min="1549" max="1551" width="8" style="36" customWidth="1"/>
    <col min="1552" max="1553" width="14.5703125" style="36" bestFit="1" customWidth="1"/>
    <col min="1554" max="1792" width="8" style="36"/>
    <col min="1793" max="1794" width="1.5703125" style="36" customWidth="1"/>
    <col min="1795" max="1795" width="41.28515625" style="36" customWidth="1"/>
    <col min="1796" max="1796" width="15" style="36" customWidth="1"/>
    <col min="1797" max="1797" width="0.7109375" style="36" customWidth="1"/>
    <col min="1798" max="1798" width="0.85546875" style="36" customWidth="1"/>
    <col min="1799" max="1799" width="1.28515625" style="36" customWidth="1"/>
    <col min="1800" max="1800" width="51.140625" style="36" bestFit="1" customWidth="1"/>
    <col min="1801" max="1801" width="16.5703125" style="36" bestFit="1" customWidth="1"/>
    <col min="1802" max="1802" width="1.28515625" style="36" customWidth="1"/>
    <col min="1803" max="1803" width="8" style="36" customWidth="1"/>
    <col min="1804" max="1804" width="18.140625" style="36" bestFit="1" customWidth="1"/>
    <col min="1805" max="1807" width="8" style="36" customWidth="1"/>
    <col min="1808" max="1809" width="14.5703125" style="36" bestFit="1" customWidth="1"/>
    <col min="1810" max="2048" width="8" style="36"/>
    <col min="2049" max="2050" width="1.5703125" style="36" customWidth="1"/>
    <col min="2051" max="2051" width="41.28515625" style="36" customWidth="1"/>
    <col min="2052" max="2052" width="15" style="36" customWidth="1"/>
    <col min="2053" max="2053" width="0.7109375" style="36" customWidth="1"/>
    <col min="2054" max="2054" width="0.85546875" style="36" customWidth="1"/>
    <col min="2055" max="2055" width="1.28515625" style="36" customWidth="1"/>
    <col min="2056" max="2056" width="51.140625" style="36" bestFit="1" customWidth="1"/>
    <col min="2057" max="2057" width="16.5703125" style="36" bestFit="1" customWidth="1"/>
    <col min="2058" max="2058" width="1.28515625" style="36" customWidth="1"/>
    <col min="2059" max="2059" width="8" style="36" customWidth="1"/>
    <col min="2060" max="2060" width="18.140625" style="36" bestFit="1" customWidth="1"/>
    <col min="2061" max="2063" width="8" style="36" customWidth="1"/>
    <col min="2064" max="2065" width="14.5703125" style="36" bestFit="1" customWidth="1"/>
    <col min="2066" max="2304" width="8" style="36"/>
    <col min="2305" max="2306" width="1.5703125" style="36" customWidth="1"/>
    <col min="2307" max="2307" width="41.28515625" style="36" customWidth="1"/>
    <col min="2308" max="2308" width="15" style="36" customWidth="1"/>
    <col min="2309" max="2309" width="0.7109375" style="36" customWidth="1"/>
    <col min="2310" max="2310" width="0.85546875" style="36" customWidth="1"/>
    <col min="2311" max="2311" width="1.28515625" style="36" customWidth="1"/>
    <col min="2312" max="2312" width="51.140625" style="36" bestFit="1" customWidth="1"/>
    <col min="2313" max="2313" width="16.5703125" style="36" bestFit="1" customWidth="1"/>
    <col min="2314" max="2314" width="1.28515625" style="36" customWidth="1"/>
    <col min="2315" max="2315" width="8" style="36" customWidth="1"/>
    <col min="2316" max="2316" width="18.140625" style="36" bestFit="1" customWidth="1"/>
    <col min="2317" max="2319" width="8" style="36" customWidth="1"/>
    <col min="2320" max="2321" width="14.5703125" style="36" bestFit="1" customWidth="1"/>
    <col min="2322" max="2560" width="8" style="36"/>
    <col min="2561" max="2562" width="1.5703125" style="36" customWidth="1"/>
    <col min="2563" max="2563" width="41.28515625" style="36" customWidth="1"/>
    <col min="2564" max="2564" width="15" style="36" customWidth="1"/>
    <col min="2565" max="2565" width="0.7109375" style="36" customWidth="1"/>
    <col min="2566" max="2566" width="0.85546875" style="36" customWidth="1"/>
    <col min="2567" max="2567" width="1.28515625" style="36" customWidth="1"/>
    <col min="2568" max="2568" width="51.140625" style="36" bestFit="1" customWidth="1"/>
    <col min="2569" max="2569" width="16.5703125" style="36" bestFit="1" customWidth="1"/>
    <col min="2570" max="2570" width="1.28515625" style="36" customWidth="1"/>
    <col min="2571" max="2571" width="8" style="36" customWidth="1"/>
    <col min="2572" max="2572" width="18.140625" style="36" bestFit="1" customWidth="1"/>
    <col min="2573" max="2575" width="8" style="36" customWidth="1"/>
    <col min="2576" max="2577" width="14.5703125" style="36" bestFit="1" customWidth="1"/>
    <col min="2578" max="2816" width="8" style="36"/>
    <col min="2817" max="2818" width="1.5703125" style="36" customWidth="1"/>
    <col min="2819" max="2819" width="41.28515625" style="36" customWidth="1"/>
    <col min="2820" max="2820" width="15" style="36" customWidth="1"/>
    <col min="2821" max="2821" width="0.7109375" style="36" customWidth="1"/>
    <col min="2822" max="2822" width="0.85546875" style="36" customWidth="1"/>
    <col min="2823" max="2823" width="1.28515625" style="36" customWidth="1"/>
    <col min="2824" max="2824" width="51.140625" style="36" bestFit="1" customWidth="1"/>
    <col min="2825" max="2825" width="16.5703125" style="36" bestFit="1" customWidth="1"/>
    <col min="2826" max="2826" width="1.28515625" style="36" customWidth="1"/>
    <col min="2827" max="2827" width="8" style="36" customWidth="1"/>
    <col min="2828" max="2828" width="18.140625" style="36" bestFit="1" customWidth="1"/>
    <col min="2829" max="2831" width="8" style="36" customWidth="1"/>
    <col min="2832" max="2833" width="14.5703125" style="36" bestFit="1" customWidth="1"/>
    <col min="2834" max="3072" width="8" style="36"/>
    <col min="3073" max="3074" width="1.5703125" style="36" customWidth="1"/>
    <col min="3075" max="3075" width="41.28515625" style="36" customWidth="1"/>
    <col min="3076" max="3076" width="15" style="36" customWidth="1"/>
    <col min="3077" max="3077" width="0.7109375" style="36" customWidth="1"/>
    <col min="3078" max="3078" width="0.85546875" style="36" customWidth="1"/>
    <col min="3079" max="3079" width="1.28515625" style="36" customWidth="1"/>
    <col min="3080" max="3080" width="51.140625" style="36" bestFit="1" customWidth="1"/>
    <col min="3081" max="3081" width="16.5703125" style="36" bestFit="1" customWidth="1"/>
    <col min="3082" max="3082" width="1.28515625" style="36" customWidth="1"/>
    <col min="3083" max="3083" width="8" style="36" customWidth="1"/>
    <col min="3084" max="3084" width="18.140625" style="36" bestFit="1" customWidth="1"/>
    <col min="3085" max="3087" width="8" style="36" customWidth="1"/>
    <col min="3088" max="3089" width="14.5703125" style="36" bestFit="1" customWidth="1"/>
    <col min="3090" max="3328" width="8" style="36"/>
    <col min="3329" max="3330" width="1.5703125" style="36" customWidth="1"/>
    <col min="3331" max="3331" width="41.28515625" style="36" customWidth="1"/>
    <col min="3332" max="3332" width="15" style="36" customWidth="1"/>
    <col min="3333" max="3333" width="0.7109375" style="36" customWidth="1"/>
    <col min="3334" max="3334" width="0.85546875" style="36" customWidth="1"/>
    <col min="3335" max="3335" width="1.28515625" style="36" customWidth="1"/>
    <col min="3336" max="3336" width="51.140625" style="36" bestFit="1" customWidth="1"/>
    <col min="3337" max="3337" width="16.5703125" style="36" bestFit="1" customWidth="1"/>
    <col min="3338" max="3338" width="1.28515625" style="36" customWidth="1"/>
    <col min="3339" max="3339" width="8" style="36" customWidth="1"/>
    <col min="3340" max="3340" width="18.140625" style="36" bestFit="1" customWidth="1"/>
    <col min="3341" max="3343" width="8" style="36" customWidth="1"/>
    <col min="3344" max="3345" width="14.5703125" style="36" bestFit="1" customWidth="1"/>
    <col min="3346" max="3584" width="8" style="36"/>
    <col min="3585" max="3586" width="1.5703125" style="36" customWidth="1"/>
    <col min="3587" max="3587" width="41.28515625" style="36" customWidth="1"/>
    <col min="3588" max="3588" width="15" style="36" customWidth="1"/>
    <col min="3589" max="3589" width="0.7109375" style="36" customWidth="1"/>
    <col min="3590" max="3590" width="0.85546875" style="36" customWidth="1"/>
    <col min="3591" max="3591" width="1.28515625" style="36" customWidth="1"/>
    <col min="3592" max="3592" width="51.140625" style="36" bestFit="1" customWidth="1"/>
    <col min="3593" max="3593" width="16.5703125" style="36" bestFit="1" customWidth="1"/>
    <col min="3594" max="3594" width="1.28515625" style="36" customWidth="1"/>
    <col min="3595" max="3595" width="8" style="36" customWidth="1"/>
    <col min="3596" max="3596" width="18.140625" style="36" bestFit="1" customWidth="1"/>
    <col min="3597" max="3599" width="8" style="36" customWidth="1"/>
    <col min="3600" max="3601" width="14.5703125" style="36" bestFit="1" customWidth="1"/>
    <col min="3602" max="3840" width="8" style="36"/>
    <col min="3841" max="3842" width="1.5703125" style="36" customWidth="1"/>
    <col min="3843" max="3843" width="41.28515625" style="36" customWidth="1"/>
    <col min="3844" max="3844" width="15" style="36" customWidth="1"/>
    <col min="3845" max="3845" width="0.7109375" style="36" customWidth="1"/>
    <col min="3846" max="3846" width="0.85546875" style="36" customWidth="1"/>
    <col min="3847" max="3847" width="1.28515625" style="36" customWidth="1"/>
    <col min="3848" max="3848" width="51.140625" style="36" bestFit="1" customWidth="1"/>
    <col min="3849" max="3849" width="16.5703125" style="36" bestFit="1" customWidth="1"/>
    <col min="3850" max="3850" width="1.28515625" style="36" customWidth="1"/>
    <col min="3851" max="3851" width="8" style="36" customWidth="1"/>
    <col min="3852" max="3852" width="18.140625" style="36" bestFit="1" customWidth="1"/>
    <col min="3853" max="3855" width="8" style="36" customWidth="1"/>
    <col min="3856" max="3857" width="14.5703125" style="36" bestFit="1" customWidth="1"/>
    <col min="3858" max="4096" width="8" style="36"/>
    <col min="4097" max="4098" width="1.5703125" style="36" customWidth="1"/>
    <col min="4099" max="4099" width="41.28515625" style="36" customWidth="1"/>
    <col min="4100" max="4100" width="15" style="36" customWidth="1"/>
    <col min="4101" max="4101" width="0.7109375" style="36" customWidth="1"/>
    <col min="4102" max="4102" width="0.85546875" style="36" customWidth="1"/>
    <col min="4103" max="4103" width="1.28515625" style="36" customWidth="1"/>
    <col min="4104" max="4104" width="51.140625" style="36" bestFit="1" customWidth="1"/>
    <col min="4105" max="4105" width="16.5703125" style="36" bestFit="1" customWidth="1"/>
    <col min="4106" max="4106" width="1.28515625" style="36" customWidth="1"/>
    <col min="4107" max="4107" width="8" style="36" customWidth="1"/>
    <col min="4108" max="4108" width="18.140625" style="36" bestFit="1" customWidth="1"/>
    <col min="4109" max="4111" width="8" style="36" customWidth="1"/>
    <col min="4112" max="4113" width="14.5703125" style="36" bestFit="1" customWidth="1"/>
    <col min="4114" max="4352" width="8" style="36"/>
    <col min="4353" max="4354" width="1.5703125" style="36" customWidth="1"/>
    <col min="4355" max="4355" width="41.28515625" style="36" customWidth="1"/>
    <col min="4356" max="4356" width="15" style="36" customWidth="1"/>
    <col min="4357" max="4357" width="0.7109375" style="36" customWidth="1"/>
    <col min="4358" max="4358" width="0.85546875" style="36" customWidth="1"/>
    <col min="4359" max="4359" width="1.28515625" style="36" customWidth="1"/>
    <col min="4360" max="4360" width="51.140625" style="36" bestFit="1" customWidth="1"/>
    <col min="4361" max="4361" width="16.5703125" style="36" bestFit="1" customWidth="1"/>
    <col min="4362" max="4362" width="1.28515625" style="36" customWidth="1"/>
    <col min="4363" max="4363" width="8" style="36" customWidth="1"/>
    <col min="4364" max="4364" width="18.140625" style="36" bestFit="1" customWidth="1"/>
    <col min="4365" max="4367" width="8" style="36" customWidth="1"/>
    <col min="4368" max="4369" width="14.5703125" style="36" bestFit="1" customWidth="1"/>
    <col min="4370" max="4608" width="8" style="36"/>
    <col min="4609" max="4610" width="1.5703125" style="36" customWidth="1"/>
    <col min="4611" max="4611" width="41.28515625" style="36" customWidth="1"/>
    <col min="4612" max="4612" width="15" style="36" customWidth="1"/>
    <col min="4613" max="4613" width="0.7109375" style="36" customWidth="1"/>
    <col min="4614" max="4614" width="0.85546875" style="36" customWidth="1"/>
    <col min="4615" max="4615" width="1.28515625" style="36" customWidth="1"/>
    <col min="4616" max="4616" width="51.140625" style="36" bestFit="1" customWidth="1"/>
    <col min="4617" max="4617" width="16.5703125" style="36" bestFit="1" customWidth="1"/>
    <col min="4618" max="4618" width="1.28515625" style="36" customWidth="1"/>
    <col min="4619" max="4619" width="8" style="36" customWidth="1"/>
    <col min="4620" max="4620" width="18.140625" style="36" bestFit="1" customWidth="1"/>
    <col min="4621" max="4623" width="8" style="36" customWidth="1"/>
    <col min="4624" max="4625" width="14.5703125" style="36" bestFit="1" customWidth="1"/>
    <col min="4626" max="4864" width="8" style="36"/>
    <col min="4865" max="4866" width="1.5703125" style="36" customWidth="1"/>
    <col min="4867" max="4867" width="41.28515625" style="36" customWidth="1"/>
    <col min="4868" max="4868" width="15" style="36" customWidth="1"/>
    <col min="4869" max="4869" width="0.7109375" style="36" customWidth="1"/>
    <col min="4870" max="4870" width="0.85546875" style="36" customWidth="1"/>
    <col min="4871" max="4871" width="1.28515625" style="36" customWidth="1"/>
    <col min="4872" max="4872" width="51.140625" style="36" bestFit="1" customWidth="1"/>
    <col min="4873" max="4873" width="16.5703125" style="36" bestFit="1" customWidth="1"/>
    <col min="4874" max="4874" width="1.28515625" style="36" customWidth="1"/>
    <col min="4875" max="4875" width="8" style="36" customWidth="1"/>
    <col min="4876" max="4876" width="18.140625" style="36" bestFit="1" customWidth="1"/>
    <col min="4877" max="4879" width="8" style="36" customWidth="1"/>
    <col min="4880" max="4881" width="14.5703125" style="36" bestFit="1" customWidth="1"/>
    <col min="4882" max="5120" width="8" style="36"/>
    <col min="5121" max="5122" width="1.5703125" style="36" customWidth="1"/>
    <col min="5123" max="5123" width="41.28515625" style="36" customWidth="1"/>
    <col min="5124" max="5124" width="15" style="36" customWidth="1"/>
    <col min="5125" max="5125" width="0.7109375" style="36" customWidth="1"/>
    <col min="5126" max="5126" width="0.85546875" style="36" customWidth="1"/>
    <col min="5127" max="5127" width="1.28515625" style="36" customWidth="1"/>
    <col min="5128" max="5128" width="51.140625" style="36" bestFit="1" customWidth="1"/>
    <col min="5129" max="5129" width="16.5703125" style="36" bestFit="1" customWidth="1"/>
    <col min="5130" max="5130" width="1.28515625" style="36" customWidth="1"/>
    <col min="5131" max="5131" width="8" style="36" customWidth="1"/>
    <col min="5132" max="5132" width="18.140625" style="36" bestFit="1" customWidth="1"/>
    <col min="5133" max="5135" width="8" style="36" customWidth="1"/>
    <col min="5136" max="5137" width="14.5703125" style="36" bestFit="1" customWidth="1"/>
    <col min="5138" max="5376" width="8" style="36"/>
    <col min="5377" max="5378" width="1.5703125" style="36" customWidth="1"/>
    <col min="5379" max="5379" width="41.28515625" style="36" customWidth="1"/>
    <col min="5380" max="5380" width="15" style="36" customWidth="1"/>
    <col min="5381" max="5381" width="0.7109375" style="36" customWidth="1"/>
    <col min="5382" max="5382" width="0.85546875" style="36" customWidth="1"/>
    <col min="5383" max="5383" width="1.28515625" style="36" customWidth="1"/>
    <col min="5384" max="5384" width="51.140625" style="36" bestFit="1" customWidth="1"/>
    <col min="5385" max="5385" width="16.5703125" style="36" bestFit="1" customWidth="1"/>
    <col min="5386" max="5386" width="1.28515625" style="36" customWidth="1"/>
    <col min="5387" max="5387" width="8" style="36" customWidth="1"/>
    <col min="5388" max="5388" width="18.140625" style="36" bestFit="1" customWidth="1"/>
    <col min="5389" max="5391" width="8" style="36" customWidth="1"/>
    <col min="5392" max="5393" width="14.5703125" style="36" bestFit="1" customWidth="1"/>
    <col min="5394" max="5632" width="8" style="36"/>
    <col min="5633" max="5634" width="1.5703125" style="36" customWidth="1"/>
    <col min="5635" max="5635" width="41.28515625" style="36" customWidth="1"/>
    <col min="5636" max="5636" width="15" style="36" customWidth="1"/>
    <col min="5637" max="5637" width="0.7109375" style="36" customWidth="1"/>
    <col min="5638" max="5638" width="0.85546875" style="36" customWidth="1"/>
    <col min="5639" max="5639" width="1.28515625" style="36" customWidth="1"/>
    <col min="5640" max="5640" width="51.140625" style="36" bestFit="1" customWidth="1"/>
    <col min="5641" max="5641" width="16.5703125" style="36" bestFit="1" customWidth="1"/>
    <col min="5642" max="5642" width="1.28515625" style="36" customWidth="1"/>
    <col min="5643" max="5643" width="8" style="36" customWidth="1"/>
    <col min="5644" max="5644" width="18.140625" style="36" bestFit="1" customWidth="1"/>
    <col min="5645" max="5647" width="8" style="36" customWidth="1"/>
    <col min="5648" max="5649" width="14.5703125" style="36" bestFit="1" customWidth="1"/>
    <col min="5650" max="5888" width="8" style="36"/>
    <col min="5889" max="5890" width="1.5703125" style="36" customWidth="1"/>
    <col min="5891" max="5891" width="41.28515625" style="36" customWidth="1"/>
    <col min="5892" max="5892" width="15" style="36" customWidth="1"/>
    <col min="5893" max="5893" width="0.7109375" style="36" customWidth="1"/>
    <col min="5894" max="5894" width="0.85546875" style="36" customWidth="1"/>
    <col min="5895" max="5895" width="1.28515625" style="36" customWidth="1"/>
    <col min="5896" max="5896" width="51.140625" style="36" bestFit="1" customWidth="1"/>
    <col min="5897" max="5897" width="16.5703125" style="36" bestFit="1" customWidth="1"/>
    <col min="5898" max="5898" width="1.28515625" style="36" customWidth="1"/>
    <col min="5899" max="5899" width="8" style="36" customWidth="1"/>
    <col min="5900" max="5900" width="18.140625" style="36" bestFit="1" customWidth="1"/>
    <col min="5901" max="5903" width="8" style="36" customWidth="1"/>
    <col min="5904" max="5905" width="14.5703125" style="36" bestFit="1" customWidth="1"/>
    <col min="5906" max="6144" width="8" style="36"/>
    <col min="6145" max="6146" width="1.5703125" style="36" customWidth="1"/>
    <col min="6147" max="6147" width="41.28515625" style="36" customWidth="1"/>
    <col min="6148" max="6148" width="15" style="36" customWidth="1"/>
    <col min="6149" max="6149" width="0.7109375" style="36" customWidth="1"/>
    <col min="6150" max="6150" width="0.85546875" style="36" customWidth="1"/>
    <col min="6151" max="6151" width="1.28515625" style="36" customWidth="1"/>
    <col min="6152" max="6152" width="51.140625" style="36" bestFit="1" customWidth="1"/>
    <col min="6153" max="6153" width="16.5703125" style="36" bestFit="1" customWidth="1"/>
    <col min="6154" max="6154" width="1.28515625" style="36" customWidth="1"/>
    <col min="6155" max="6155" width="8" style="36" customWidth="1"/>
    <col min="6156" max="6156" width="18.140625" style="36" bestFit="1" customWidth="1"/>
    <col min="6157" max="6159" width="8" style="36" customWidth="1"/>
    <col min="6160" max="6161" width="14.5703125" style="36" bestFit="1" customWidth="1"/>
    <col min="6162" max="6400" width="8" style="36"/>
    <col min="6401" max="6402" width="1.5703125" style="36" customWidth="1"/>
    <col min="6403" max="6403" width="41.28515625" style="36" customWidth="1"/>
    <col min="6404" max="6404" width="15" style="36" customWidth="1"/>
    <col min="6405" max="6405" width="0.7109375" style="36" customWidth="1"/>
    <col min="6406" max="6406" width="0.85546875" style="36" customWidth="1"/>
    <col min="6407" max="6407" width="1.28515625" style="36" customWidth="1"/>
    <col min="6408" max="6408" width="51.140625" style="36" bestFit="1" customWidth="1"/>
    <col min="6409" max="6409" width="16.5703125" style="36" bestFit="1" customWidth="1"/>
    <col min="6410" max="6410" width="1.28515625" style="36" customWidth="1"/>
    <col min="6411" max="6411" width="8" style="36" customWidth="1"/>
    <col min="6412" max="6412" width="18.140625" style="36" bestFit="1" customWidth="1"/>
    <col min="6413" max="6415" width="8" style="36" customWidth="1"/>
    <col min="6416" max="6417" width="14.5703125" style="36" bestFit="1" customWidth="1"/>
    <col min="6418" max="6656" width="8" style="36"/>
    <col min="6657" max="6658" width="1.5703125" style="36" customWidth="1"/>
    <col min="6659" max="6659" width="41.28515625" style="36" customWidth="1"/>
    <col min="6660" max="6660" width="15" style="36" customWidth="1"/>
    <col min="6661" max="6661" width="0.7109375" style="36" customWidth="1"/>
    <col min="6662" max="6662" width="0.85546875" style="36" customWidth="1"/>
    <col min="6663" max="6663" width="1.28515625" style="36" customWidth="1"/>
    <col min="6664" max="6664" width="51.140625" style="36" bestFit="1" customWidth="1"/>
    <col min="6665" max="6665" width="16.5703125" style="36" bestFit="1" customWidth="1"/>
    <col min="6666" max="6666" width="1.28515625" style="36" customWidth="1"/>
    <col min="6667" max="6667" width="8" style="36" customWidth="1"/>
    <col min="6668" max="6668" width="18.140625" style="36" bestFit="1" customWidth="1"/>
    <col min="6669" max="6671" width="8" style="36" customWidth="1"/>
    <col min="6672" max="6673" width="14.5703125" style="36" bestFit="1" customWidth="1"/>
    <col min="6674" max="6912" width="8" style="36"/>
    <col min="6913" max="6914" width="1.5703125" style="36" customWidth="1"/>
    <col min="6915" max="6915" width="41.28515625" style="36" customWidth="1"/>
    <col min="6916" max="6916" width="15" style="36" customWidth="1"/>
    <col min="6917" max="6917" width="0.7109375" style="36" customWidth="1"/>
    <col min="6918" max="6918" width="0.85546875" style="36" customWidth="1"/>
    <col min="6919" max="6919" width="1.28515625" style="36" customWidth="1"/>
    <col min="6920" max="6920" width="51.140625" style="36" bestFit="1" customWidth="1"/>
    <col min="6921" max="6921" width="16.5703125" style="36" bestFit="1" customWidth="1"/>
    <col min="6922" max="6922" width="1.28515625" style="36" customWidth="1"/>
    <col min="6923" max="6923" width="8" style="36" customWidth="1"/>
    <col min="6924" max="6924" width="18.140625" style="36" bestFit="1" customWidth="1"/>
    <col min="6925" max="6927" width="8" style="36" customWidth="1"/>
    <col min="6928" max="6929" width="14.5703125" style="36" bestFit="1" customWidth="1"/>
    <col min="6930" max="7168" width="8" style="36"/>
    <col min="7169" max="7170" width="1.5703125" style="36" customWidth="1"/>
    <col min="7171" max="7171" width="41.28515625" style="36" customWidth="1"/>
    <col min="7172" max="7172" width="15" style="36" customWidth="1"/>
    <col min="7173" max="7173" width="0.7109375" style="36" customWidth="1"/>
    <col min="7174" max="7174" width="0.85546875" style="36" customWidth="1"/>
    <col min="7175" max="7175" width="1.28515625" style="36" customWidth="1"/>
    <col min="7176" max="7176" width="51.140625" style="36" bestFit="1" customWidth="1"/>
    <col min="7177" max="7177" width="16.5703125" style="36" bestFit="1" customWidth="1"/>
    <col min="7178" max="7178" width="1.28515625" style="36" customWidth="1"/>
    <col min="7179" max="7179" width="8" style="36" customWidth="1"/>
    <col min="7180" max="7180" width="18.140625" style="36" bestFit="1" customWidth="1"/>
    <col min="7181" max="7183" width="8" style="36" customWidth="1"/>
    <col min="7184" max="7185" width="14.5703125" style="36" bestFit="1" customWidth="1"/>
    <col min="7186" max="7424" width="8" style="36"/>
    <col min="7425" max="7426" width="1.5703125" style="36" customWidth="1"/>
    <col min="7427" max="7427" width="41.28515625" style="36" customWidth="1"/>
    <col min="7428" max="7428" width="15" style="36" customWidth="1"/>
    <col min="7429" max="7429" width="0.7109375" style="36" customWidth="1"/>
    <col min="7430" max="7430" width="0.85546875" style="36" customWidth="1"/>
    <col min="7431" max="7431" width="1.28515625" style="36" customWidth="1"/>
    <col min="7432" max="7432" width="51.140625" style="36" bestFit="1" customWidth="1"/>
    <col min="7433" max="7433" width="16.5703125" style="36" bestFit="1" customWidth="1"/>
    <col min="7434" max="7434" width="1.28515625" style="36" customWidth="1"/>
    <col min="7435" max="7435" width="8" style="36" customWidth="1"/>
    <col min="7436" max="7436" width="18.140625" style="36" bestFit="1" customWidth="1"/>
    <col min="7437" max="7439" width="8" style="36" customWidth="1"/>
    <col min="7440" max="7441" width="14.5703125" style="36" bestFit="1" customWidth="1"/>
    <col min="7442" max="7680" width="8" style="36"/>
    <col min="7681" max="7682" width="1.5703125" style="36" customWidth="1"/>
    <col min="7683" max="7683" width="41.28515625" style="36" customWidth="1"/>
    <col min="7684" max="7684" width="15" style="36" customWidth="1"/>
    <col min="7685" max="7685" width="0.7109375" style="36" customWidth="1"/>
    <col min="7686" max="7686" width="0.85546875" style="36" customWidth="1"/>
    <col min="7687" max="7687" width="1.28515625" style="36" customWidth="1"/>
    <col min="7688" max="7688" width="51.140625" style="36" bestFit="1" customWidth="1"/>
    <col min="7689" max="7689" width="16.5703125" style="36" bestFit="1" customWidth="1"/>
    <col min="7690" max="7690" width="1.28515625" style="36" customWidth="1"/>
    <col min="7691" max="7691" width="8" style="36" customWidth="1"/>
    <col min="7692" max="7692" width="18.140625" style="36" bestFit="1" customWidth="1"/>
    <col min="7693" max="7695" width="8" style="36" customWidth="1"/>
    <col min="7696" max="7697" width="14.5703125" style="36" bestFit="1" customWidth="1"/>
    <col min="7698" max="7936" width="8" style="36"/>
    <col min="7937" max="7938" width="1.5703125" style="36" customWidth="1"/>
    <col min="7939" max="7939" width="41.28515625" style="36" customWidth="1"/>
    <col min="7940" max="7940" width="15" style="36" customWidth="1"/>
    <col min="7941" max="7941" width="0.7109375" style="36" customWidth="1"/>
    <col min="7942" max="7942" width="0.85546875" style="36" customWidth="1"/>
    <col min="7943" max="7943" width="1.28515625" style="36" customWidth="1"/>
    <col min="7944" max="7944" width="51.140625" style="36" bestFit="1" customWidth="1"/>
    <col min="7945" max="7945" width="16.5703125" style="36" bestFit="1" customWidth="1"/>
    <col min="7946" max="7946" width="1.28515625" style="36" customWidth="1"/>
    <col min="7947" max="7947" width="8" style="36" customWidth="1"/>
    <col min="7948" max="7948" width="18.140625" style="36" bestFit="1" customWidth="1"/>
    <col min="7949" max="7951" width="8" style="36" customWidth="1"/>
    <col min="7952" max="7953" width="14.5703125" style="36" bestFit="1" customWidth="1"/>
    <col min="7954" max="8192" width="8" style="36"/>
    <col min="8193" max="8194" width="1.5703125" style="36" customWidth="1"/>
    <col min="8195" max="8195" width="41.28515625" style="36" customWidth="1"/>
    <col min="8196" max="8196" width="15" style="36" customWidth="1"/>
    <col min="8197" max="8197" width="0.7109375" style="36" customWidth="1"/>
    <col min="8198" max="8198" width="0.85546875" style="36" customWidth="1"/>
    <col min="8199" max="8199" width="1.28515625" style="36" customWidth="1"/>
    <col min="8200" max="8200" width="51.140625" style="36" bestFit="1" customWidth="1"/>
    <col min="8201" max="8201" width="16.5703125" style="36" bestFit="1" customWidth="1"/>
    <col min="8202" max="8202" width="1.28515625" style="36" customWidth="1"/>
    <col min="8203" max="8203" width="8" style="36" customWidth="1"/>
    <col min="8204" max="8204" width="18.140625" style="36" bestFit="1" customWidth="1"/>
    <col min="8205" max="8207" width="8" style="36" customWidth="1"/>
    <col min="8208" max="8209" width="14.5703125" style="36" bestFit="1" customWidth="1"/>
    <col min="8210" max="8448" width="8" style="36"/>
    <col min="8449" max="8450" width="1.5703125" style="36" customWidth="1"/>
    <col min="8451" max="8451" width="41.28515625" style="36" customWidth="1"/>
    <col min="8452" max="8452" width="15" style="36" customWidth="1"/>
    <col min="8453" max="8453" width="0.7109375" style="36" customWidth="1"/>
    <col min="8454" max="8454" width="0.85546875" style="36" customWidth="1"/>
    <col min="8455" max="8455" width="1.28515625" style="36" customWidth="1"/>
    <col min="8456" max="8456" width="51.140625" style="36" bestFit="1" customWidth="1"/>
    <col min="8457" max="8457" width="16.5703125" style="36" bestFit="1" customWidth="1"/>
    <col min="8458" max="8458" width="1.28515625" style="36" customWidth="1"/>
    <col min="8459" max="8459" width="8" style="36" customWidth="1"/>
    <col min="8460" max="8460" width="18.140625" style="36" bestFit="1" customWidth="1"/>
    <col min="8461" max="8463" width="8" style="36" customWidth="1"/>
    <col min="8464" max="8465" width="14.5703125" style="36" bestFit="1" customWidth="1"/>
    <col min="8466" max="8704" width="8" style="36"/>
    <col min="8705" max="8706" width="1.5703125" style="36" customWidth="1"/>
    <col min="8707" max="8707" width="41.28515625" style="36" customWidth="1"/>
    <col min="8708" max="8708" width="15" style="36" customWidth="1"/>
    <col min="8709" max="8709" width="0.7109375" style="36" customWidth="1"/>
    <col min="8710" max="8710" width="0.85546875" style="36" customWidth="1"/>
    <col min="8711" max="8711" width="1.28515625" style="36" customWidth="1"/>
    <col min="8712" max="8712" width="51.140625" style="36" bestFit="1" customWidth="1"/>
    <col min="8713" max="8713" width="16.5703125" style="36" bestFit="1" customWidth="1"/>
    <col min="8714" max="8714" width="1.28515625" style="36" customWidth="1"/>
    <col min="8715" max="8715" width="8" style="36" customWidth="1"/>
    <col min="8716" max="8716" width="18.140625" style="36" bestFit="1" customWidth="1"/>
    <col min="8717" max="8719" width="8" style="36" customWidth="1"/>
    <col min="8720" max="8721" width="14.5703125" style="36" bestFit="1" customWidth="1"/>
    <col min="8722" max="8960" width="8" style="36"/>
    <col min="8961" max="8962" width="1.5703125" style="36" customWidth="1"/>
    <col min="8963" max="8963" width="41.28515625" style="36" customWidth="1"/>
    <col min="8964" max="8964" width="15" style="36" customWidth="1"/>
    <col min="8965" max="8965" width="0.7109375" style="36" customWidth="1"/>
    <col min="8966" max="8966" width="0.85546875" style="36" customWidth="1"/>
    <col min="8967" max="8967" width="1.28515625" style="36" customWidth="1"/>
    <col min="8968" max="8968" width="51.140625" style="36" bestFit="1" customWidth="1"/>
    <col min="8969" max="8969" width="16.5703125" style="36" bestFit="1" customWidth="1"/>
    <col min="8970" max="8970" width="1.28515625" style="36" customWidth="1"/>
    <col min="8971" max="8971" width="8" style="36" customWidth="1"/>
    <col min="8972" max="8972" width="18.140625" style="36" bestFit="1" customWidth="1"/>
    <col min="8973" max="8975" width="8" style="36" customWidth="1"/>
    <col min="8976" max="8977" width="14.5703125" style="36" bestFit="1" customWidth="1"/>
    <col min="8978" max="9216" width="8" style="36"/>
    <col min="9217" max="9218" width="1.5703125" style="36" customWidth="1"/>
    <col min="9219" max="9219" width="41.28515625" style="36" customWidth="1"/>
    <col min="9220" max="9220" width="15" style="36" customWidth="1"/>
    <col min="9221" max="9221" width="0.7109375" style="36" customWidth="1"/>
    <col min="9222" max="9222" width="0.85546875" style="36" customWidth="1"/>
    <col min="9223" max="9223" width="1.28515625" style="36" customWidth="1"/>
    <col min="9224" max="9224" width="51.140625" style="36" bestFit="1" customWidth="1"/>
    <col min="9225" max="9225" width="16.5703125" style="36" bestFit="1" customWidth="1"/>
    <col min="9226" max="9226" width="1.28515625" style="36" customWidth="1"/>
    <col min="9227" max="9227" width="8" style="36" customWidth="1"/>
    <col min="9228" max="9228" width="18.140625" style="36" bestFit="1" customWidth="1"/>
    <col min="9229" max="9231" width="8" style="36" customWidth="1"/>
    <col min="9232" max="9233" width="14.5703125" style="36" bestFit="1" customWidth="1"/>
    <col min="9234" max="9472" width="8" style="36"/>
    <col min="9473" max="9474" width="1.5703125" style="36" customWidth="1"/>
    <col min="9475" max="9475" width="41.28515625" style="36" customWidth="1"/>
    <col min="9476" max="9476" width="15" style="36" customWidth="1"/>
    <col min="9477" max="9477" width="0.7109375" style="36" customWidth="1"/>
    <col min="9478" max="9478" width="0.85546875" style="36" customWidth="1"/>
    <col min="9479" max="9479" width="1.28515625" style="36" customWidth="1"/>
    <col min="9480" max="9480" width="51.140625" style="36" bestFit="1" customWidth="1"/>
    <col min="9481" max="9481" width="16.5703125" style="36" bestFit="1" customWidth="1"/>
    <col min="9482" max="9482" width="1.28515625" style="36" customWidth="1"/>
    <col min="9483" max="9483" width="8" style="36" customWidth="1"/>
    <col min="9484" max="9484" width="18.140625" style="36" bestFit="1" customWidth="1"/>
    <col min="9485" max="9487" width="8" style="36" customWidth="1"/>
    <col min="9488" max="9489" width="14.5703125" style="36" bestFit="1" customWidth="1"/>
    <col min="9490" max="9728" width="8" style="36"/>
    <col min="9729" max="9730" width="1.5703125" style="36" customWidth="1"/>
    <col min="9731" max="9731" width="41.28515625" style="36" customWidth="1"/>
    <col min="9732" max="9732" width="15" style="36" customWidth="1"/>
    <col min="9733" max="9733" width="0.7109375" style="36" customWidth="1"/>
    <col min="9734" max="9734" width="0.85546875" style="36" customWidth="1"/>
    <col min="9735" max="9735" width="1.28515625" style="36" customWidth="1"/>
    <col min="9736" max="9736" width="51.140625" style="36" bestFit="1" customWidth="1"/>
    <col min="9737" max="9737" width="16.5703125" style="36" bestFit="1" customWidth="1"/>
    <col min="9738" max="9738" width="1.28515625" style="36" customWidth="1"/>
    <col min="9739" max="9739" width="8" style="36" customWidth="1"/>
    <col min="9740" max="9740" width="18.140625" style="36" bestFit="1" customWidth="1"/>
    <col min="9741" max="9743" width="8" style="36" customWidth="1"/>
    <col min="9744" max="9745" width="14.5703125" style="36" bestFit="1" customWidth="1"/>
    <col min="9746" max="9984" width="8" style="36"/>
    <col min="9985" max="9986" width="1.5703125" style="36" customWidth="1"/>
    <col min="9987" max="9987" width="41.28515625" style="36" customWidth="1"/>
    <col min="9988" max="9988" width="15" style="36" customWidth="1"/>
    <col min="9989" max="9989" width="0.7109375" style="36" customWidth="1"/>
    <col min="9990" max="9990" width="0.85546875" style="36" customWidth="1"/>
    <col min="9991" max="9991" width="1.28515625" style="36" customWidth="1"/>
    <col min="9992" max="9992" width="51.140625" style="36" bestFit="1" customWidth="1"/>
    <col min="9993" max="9993" width="16.5703125" style="36" bestFit="1" customWidth="1"/>
    <col min="9994" max="9994" width="1.28515625" style="36" customWidth="1"/>
    <col min="9995" max="9995" width="8" style="36" customWidth="1"/>
    <col min="9996" max="9996" width="18.140625" style="36" bestFit="1" customWidth="1"/>
    <col min="9997" max="9999" width="8" style="36" customWidth="1"/>
    <col min="10000" max="10001" width="14.5703125" style="36" bestFit="1" customWidth="1"/>
    <col min="10002" max="10240" width="8" style="36"/>
    <col min="10241" max="10242" width="1.5703125" style="36" customWidth="1"/>
    <col min="10243" max="10243" width="41.28515625" style="36" customWidth="1"/>
    <col min="10244" max="10244" width="15" style="36" customWidth="1"/>
    <col min="10245" max="10245" width="0.7109375" style="36" customWidth="1"/>
    <col min="10246" max="10246" width="0.85546875" style="36" customWidth="1"/>
    <col min="10247" max="10247" width="1.28515625" style="36" customWidth="1"/>
    <col min="10248" max="10248" width="51.140625" style="36" bestFit="1" customWidth="1"/>
    <col min="10249" max="10249" width="16.5703125" style="36" bestFit="1" customWidth="1"/>
    <col min="10250" max="10250" width="1.28515625" style="36" customWidth="1"/>
    <col min="10251" max="10251" width="8" style="36" customWidth="1"/>
    <col min="10252" max="10252" width="18.140625" style="36" bestFit="1" customWidth="1"/>
    <col min="10253" max="10255" width="8" style="36" customWidth="1"/>
    <col min="10256" max="10257" width="14.5703125" style="36" bestFit="1" customWidth="1"/>
    <col min="10258" max="10496" width="8" style="36"/>
    <col min="10497" max="10498" width="1.5703125" style="36" customWidth="1"/>
    <col min="10499" max="10499" width="41.28515625" style="36" customWidth="1"/>
    <col min="10500" max="10500" width="15" style="36" customWidth="1"/>
    <col min="10501" max="10501" width="0.7109375" style="36" customWidth="1"/>
    <col min="10502" max="10502" width="0.85546875" style="36" customWidth="1"/>
    <col min="10503" max="10503" width="1.28515625" style="36" customWidth="1"/>
    <col min="10504" max="10504" width="51.140625" style="36" bestFit="1" customWidth="1"/>
    <col min="10505" max="10505" width="16.5703125" style="36" bestFit="1" customWidth="1"/>
    <col min="10506" max="10506" width="1.28515625" style="36" customWidth="1"/>
    <col min="10507" max="10507" width="8" style="36" customWidth="1"/>
    <col min="10508" max="10508" width="18.140625" style="36" bestFit="1" customWidth="1"/>
    <col min="10509" max="10511" width="8" style="36" customWidth="1"/>
    <col min="10512" max="10513" width="14.5703125" style="36" bestFit="1" customWidth="1"/>
    <col min="10514" max="10752" width="8" style="36"/>
    <col min="10753" max="10754" width="1.5703125" style="36" customWidth="1"/>
    <col min="10755" max="10755" width="41.28515625" style="36" customWidth="1"/>
    <col min="10756" max="10756" width="15" style="36" customWidth="1"/>
    <col min="10757" max="10757" width="0.7109375" style="36" customWidth="1"/>
    <col min="10758" max="10758" width="0.85546875" style="36" customWidth="1"/>
    <col min="10759" max="10759" width="1.28515625" style="36" customWidth="1"/>
    <col min="10760" max="10760" width="51.140625" style="36" bestFit="1" customWidth="1"/>
    <col min="10761" max="10761" width="16.5703125" style="36" bestFit="1" customWidth="1"/>
    <col min="10762" max="10762" width="1.28515625" style="36" customWidth="1"/>
    <col min="10763" max="10763" width="8" style="36" customWidth="1"/>
    <col min="10764" max="10764" width="18.140625" style="36" bestFit="1" customWidth="1"/>
    <col min="10765" max="10767" width="8" style="36" customWidth="1"/>
    <col min="10768" max="10769" width="14.5703125" style="36" bestFit="1" customWidth="1"/>
    <col min="10770" max="11008" width="8" style="36"/>
    <col min="11009" max="11010" width="1.5703125" style="36" customWidth="1"/>
    <col min="11011" max="11011" width="41.28515625" style="36" customWidth="1"/>
    <col min="11012" max="11012" width="15" style="36" customWidth="1"/>
    <col min="11013" max="11013" width="0.7109375" style="36" customWidth="1"/>
    <col min="11014" max="11014" width="0.85546875" style="36" customWidth="1"/>
    <col min="11015" max="11015" width="1.28515625" style="36" customWidth="1"/>
    <col min="11016" max="11016" width="51.140625" style="36" bestFit="1" customWidth="1"/>
    <col min="11017" max="11017" width="16.5703125" style="36" bestFit="1" customWidth="1"/>
    <col min="11018" max="11018" width="1.28515625" style="36" customWidth="1"/>
    <col min="11019" max="11019" width="8" style="36" customWidth="1"/>
    <col min="11020" max="11020" width="18.140625" style="36" bestFit="1" customWidth="1"/>
    <col min="11021" max="11023" width="8" style="36" customWidth="1"/>
    <col min="11024" max="11025" width="14.5703125" style="36" bestFit="1" customWidth="1"/>
    <col min="11026" max="11264" width="8" style="36"/>
    <col min="11265" max="11266" width="1.5703125" style="36" customWidth="1"/>
    <col min="11267" max="11267" width="41.28515625" style="36" customWidth="1"/>
    <col min="11268" max="11268" width="15" style="36" customWidth="1"/>
    <col min="11269" max="11269" width="0.7109375" style="36" customWidth="1"/>
    <col min="11270" max="11270" width="0.85546875" style="36" customWidth="1"/>
    <col min="11271" max="11271" width="1.28515625" style="36" customWidth="1"/>
    <col min="11272" max="11272" width="51.140625" style="36" bestFit="1" customWidth="1"/>
    <col min="11273" max="11273" width="16.5703125" style="36" bestFit="1" customWidth="1"/>
    <col min="11274" max="11274" width="1.28515625" style="36" customWidth="1"/>
    <col min="11275" max="11275" width="8" style="36" customWidth="1"/>
    <col min="11276" max="11276" width="18.140625" style="36" bestFit="1" customWidth="1"/>
    <col min="11277" max="11279" width="8" style="36" customWidth="1"/>
    <col min="11280" max="11281" width="14.5703125" style="36" bestFit="1" customWidth="1"/>
    <col min="11282" max="11520" width="8" style="36"/>
    <col min="11521" max="11522" width="1.5703125" style="36" customWidth="1"/>
    <col min="11523" max="11523" width="41.28515625" style="36" customWidth="1"/>
    <col min="11524" max="11524" width="15" style="36" customWidth="1"/>
    <col min="11525" max="11525" width="0.7109375" style="36" customWidth="1"/>
    <col min="11526" max="11526" width="0.85546875" style="36" customWidth="1"/>
    <col min="11527" max="11527" width="1.28515625" style="36" customWidth="1"/>
    <col min="11528" max="11528" width="51.140625" style="36" bestFit="1" customWidth="1"/>
    <col min="11529" max="11529" width="16.5703125" style="36" bestFit="1" customWidth="1"/>
    <col min="11530" max="11530" width="1.28515625" style="36" customWidth="1"/>
    <col min="11531" max="11531" width="8" style="36" customWidth="1"/>
    <col min="11532" max="11532" width="18.140625" style="36" bestFit="1" customWidth="1"/>
    <col min="11533" max="11535" width="8" style="36" customWidth="1"/>
    <col min="11536" max="11537" width="14.5703125" style="36" bestFit="1" customWidth="1"/>
    <col min="11538" max="11776" width="8" style="36"/>
    <col min="11777" max="11778" width="1.5703125" style="36" customWidth="1"/>
    <col min="11779" max="11779" width="41.28515625" style="36" customWidth="1"/>
    <col min="11780" max="11780" width="15" style="36" customWidth="1"/>
    <col min="11781" max="11781" width="0.7109375" style="36" customWidth="1"/>
    <col min="11782" max="11782" width="0.85546875" style="36" customWidth="1"/>
    <col min="11783" max="11783" width="1.28515625" style="36" customWidth="1"/>
    <col min="11784" max="11784" width="51.140625" style="36" bestFit="1" customWidth="1"/>
    <col min="11785" max="11785" width="16.5703125" style="36" bestFit="1" customWidth="1"/>
    <col min="11786" max="11786" width="1.28515625" style="36" customWidth="1"/>
    <col min="11787" max="11787" width="8" style="36" customWidth="1"/>
    <col min="11788" max="11788" width="18.140625" style="36" bestFit="1" customWidth="1"/>
    <col min="11789" max="11791" width="8" style="36" customWidth="1"/>
    <col min="11792" max="11793" width="14.5703125" style="36" bestFit="1" customWidth="1"/>
    <col min="11794" max="12032" width="8" style="36"/>
    <col min="12033" max="12034" width="1.5703125" style="36" customWidth="1"/>
    <col min="12035" max="12035" width="41.28515625" style="36" customWidth="1"/>
    <col min="12036" max="12036" width="15" style="36" customWidth="1"/>
    <col min="12037" max="12037" width="0.7109375" style="36" customWidth="1"/>
    <col min="12038" max="12038" width="0.85546875" style="36" customWidth="1"/>
    <col min="12039" max="12039" width="1.28515625" style="36" customWidth="1"/>
    <col min="12040" max="12040" width="51.140625" style="36" bestFit="1" customWidth="1"/>
    <col min="12041" max="12041" width="16.5703125" style="36" bestFit="1" customWidth="1"/>
    <col min="12042" max="12042" width="1.28515625" style="36" customWidth="1"/>
    <col min="12043" max="12043" width="8" style="36" customWidth="1"/>
    <col min="12044" max="12044" width="18.140625" style="36" bestFit="1" customWidth="1"/>
    <col min="12045" max="12047" width="8" style="36" customWidth="1"/>
    <col min="12048" max="12049" width="14.5703125" style="36" bestFit="1" customWidth="1"/>
    <col min="12050" max="12288" width="8" style="36"/>
    <col min="12289" max="12290" width="1.5703125" style="36" customWidth="1"/>
    <col min="12291" max="12291" width="41.28515625" style="36" customWidth="1"/>
    <col min="12292" max="12292" width="15" style="36" customWidth="1"/>
    <col min="12293" max="12293" width="0.7109375" style="36" customWidth="1"/>
    <col min="12294" max="12294" width="0.85546875" style="36" customWidth="1"/>
    <col min="12295" max="12295" width="1.28515625" style="36" customWidth="1"/>
    <col min="12296" max="12296" width="51.140625" style="36" bestFit="1" customWidth="1"/>
    <col min="12297" max="12297" width="16.5703125" style="36" bestFit="1" customWidth="1"/>
    <col min="12298" max="12298" width="1.28515625" style="36" customWidth="1"/>
    <col min="12299" max="12299" width="8" style="36" customWidth="1"/>
    <col min="12300" max="12300" width="18.140625" style="36" bestFit="1" customWidth="1"/>
    <col min="12301" max="12303" width="8" style="36" customWidth="1"/>
    <col min="12304" max="12305" width="14.5703125" style="36" bestFit="1" customWidth="1"/>
    <col min="12306" max="12544" width="8" style="36"/>
    <col min="12545" max="12546" width="1.5703125" style="36" customWidth="1"/>
    <col min="12547" max="12547" width="41.28515625" style="36" customWidth="1"/>
    <col min="12548" max="12548" width="15" style="36" customWidth="1"/>
    <col min="12549" max="12549" width="0.7109375" style="36" customWidth="1"/>
    <col min="12550" max="12550" width="0.85546875" style="36" customWidth="1"/>
    <col min="12551" max="12551" width="1.28515625" style="36" customWidth="1"/>
    <col min="12552" max="12552" width="51.140625" style="36" bestFit="1" customWidth="1"/>
    <col min="12553" max="12553" width="16.5703125" style="36" bestFit="1" customWidth="1"/>
    <col min="12554" max="12554" width="1.28515625" style="36" customWidth="1"/>
    <col min="12555" max="12555" width="8" style="36" customWidth="1"/>
    <col min="12556" max="12556" width="18.140625" style="36" bestFit="1" customWidth="1"/>
    <col min="12557" max="12559" width="8" style="36" customWidth="1"/>
    <col min="12560" max="12561" width="14.5703125" style="36" bestFit="1" customWidth="1"/>
    <col min="12562" max="12800" width="8" style="36"/>
    <col min="12801" max="12802" width="1.5703125" style="36" customWidth="1"/>
    <col min="12803" max="12803" width="41.28515625" style="36" customWidth="1"/>
    <col min="12804" max="12804" width="15" style="36" customWidth="1"/>
    <col min="12805" max="12805" width="0.7109375" style="36" customWidth="1"/>
    <col min="12806" max="12806" width="0.85546875" style="36" customWidth="1"/>
    <col min="12807" max="12807" width="1.28515625" style="36" customWidth="1"/>
    <col min="12808" max="12808" width="51.140625" style="36" bestFit="1" customWidth="1"/>
    <col min="12809" max="12809" width="16.5703125" style="36" bestFit="1" customWidth="1"/>
    <col min="12810" max="12810" width="1.28515625" style="36" customWidth="1"/>
    <col min="12811" max="12811" width="8" style="36" customWidth="1"/>
    <col min="12812" max="12812" width="18.140625" style="36" bestFit="1" customWidth="1"/>
    <col min="12813" max="12815" width="8" style="36" customWidth="1"/>
    <col min="12816" max="12817" width="14.5703125" style="36" bestFit="1" customWidth="1"/>
    <col min="12818" max="13056" width="8" style="36"/>
    <col min="13057" max="13058" width="1.5703125" style="36" customWidth="1"/>
    <col min="13059" max="13059" width="41.28515625" style="36" customWidth="1"/>
    <col min="13060" max="13060" width="15" style="36" customWidth="1"/>
    <col min="13061" max="13061" width="0.7109375" style="36" customWidth="1"/>
    <col min="13062" max="13062" width="0.85546875" style="36" customWidth="1"/>
    <col min="13063" max="13063" width="1.28515625" style="36" customWidth="1"/>
    <col min="13064" max="13064" width="51.140625" style="36" bestFit="1" customWidth="1"/>
    <col min="13065" max="13065" width="16.5703125" style="36" bestFit="1" customWidth="1"/>
    <col min="13066" max="13066" width="1.28515625" style="36" customWidth="1"/>
    <col min="13067" max="13067" width="8" style="36" customWidth="1"/>
    <col min="13068" max="13068" width="18.140625" style="36" bestFit="1" customWidth="1"/>
    <col min="13069" max="13071" width="8" style="36" customWidth="1"/>
    <col min="13072" max="13073" width="14.5703125" style="36" bestFit="1" customWidth="1"/>
    <col min="13074" max="13312" width="8" style="36"/>
    <col min="13313" max="13314" width="1.5703125" style="36" customWidth="1"/>
    <col min="13315" max="13315" width="41.28515625" style="36" customWidth="1"/>
    <col min="13316" max="13316" width="15" style="36" customWidth="1"/>
    <col min="13317" max="13317" width="0.7109375" style="36" customWidth="1"/>
    <col min="13318" max="13318" width="0.85546875" style="36" customWidth="1"/>
    <col min="13319" max="13319" width="1.28515625" style="36" customWidth="1"/>
    <col min="13320" max="13320" width="51.140625" style="36" bestFit="1" customWidth="1"/>
    <col min="13321" max="13321" width="16.5703125" style="36" bestFit="1" customWidth="1"/>
    <col min="13322" max="13322" width="1.28515625" style="36" customWidth="1"/>
    <col min="13323" max="13323" width="8" style="36" customWidth="1"/>
    <col min="13324" max="13324" width="18.140625" style="36" bestFit="1" customWidth="1"/>
    <col min="13325" max="13327" width="8" style="36" customWidth="1"/>
    <col min="13328" max="13329" width="14.5703125" style="36" bestFit="1" customWidth="1"/>
    <col min="13330" max="13568" width="8" style="36"/>
    <col min="13569" max="13570" width="1.5703125" style="36" customWidth="1"/>
    <col min="13571" max="13571" width="41.28515625" style="36" customWidth="1"/>
    <col min="13572" max="13572" width="15" style="36" customWidth="1"/>
    <col min="13573" max="13573" width="0.7109375" style="36" customWidth="1"/>
    <col min="13574" max="13574" width="0.85546875" style="36" customWidth="1"/>
    <col min="13575" max="13575" width="1.28515625" style="36" customWidth="1"/>
    <col min="13576" max="13576" width="51.140625" style="36" bestFit="1" customWidth="1"/>
    <col min="13577" max="13577" width="16.5703125" style="36" bestFit="1" customWidth="1"/>
    <col min="13578" max="13578" width="1.28515625" style="36" customWidth="1"/>
    <col min="13579" max="13579" width="8" style="36" customWidth="1"/>
    <col min="13580" max="13580" width="18.140625" style="36" bestFit="1" customWidth="1"/>
    <col min="13581" max="13583" width="8" style="36" customWidth="1"/>
    <col min="13584" max="13585" width="14.5703125" style="36" bestFit="1" customWidth="1"/>
    <col min="13586" max="13824" width="8" style="36"/>
    <col min="13825" max="13826" width="1.5703125" style="36" customWidth="1"/>
    <col min="13827" max="13827" width="41.28515625" style="36" customWidth="1"/>
    <col min="13828" max="13828" width="15" style="36" customWidth="1"/>
    <col min="13829" max="13829" width="0.7109375" style="36" customWidth="1"/>
    <col min="13830" max="13830" width="0.85546875" style="36" customWidth="1"/>
    <col min="13831" max="13831" width="1.28515625" style="36" customWidth="1"/>
    <col min="13832" max="13832" width="51.140625" style="36" bestFit="1" customWidth="1"/>
    <col min="13833" max="13833" width="16.5703125" style="36" bestFit="1" customWidth="1"/>
    <col min="13834" max="13834" width="1.28515625" style="36" customWidth="1"/>
    <col min="13835" max="13835" width="8" style="36" customWidth="1"/>
    <col min="13836" max="13836" width="18.140625" style="36" bestFit="1" customWidth="1"/>
    <col min="13837" max="13839" width="8" style="36" customWidth="1"/>
    <col min="13840" max="13841" width="14.5703125" style="36" bestFit="1" customWidth="1"/>
    <col min="13842" max="14080" width="8" style="36"/>
    <col min="14081" max="14082" width="1.5703125" style="36" customWidth="1"/>
    <col min="14083" max="14083" width="41.28515625" style="36" customWidth="1"/>
    <col min="14084" max="14084" width="15" style="36" customWidth="1"/>
    <col min="14085" max="14085" width="0.7109375" style="36" customWidth="1"/>
    <col min="14086" max="14086" width="0.85546875" style="36" customWidth="1"/>
    <col min="14087" max="14087" width="1.28515625" style="36" customWidth="1"/>
    <col min="14088" max="14088" width="51.140625" style="36" bestFit="1" customWidth="1"/>
    <col min="14089" max="14089" width="16.5703125" style="36" bestFit="1" customWidth="1"/>
    <col min="14090" max="14090" width="1.28515625" style="36" customWidth="1"/>
    <col min="14091" max="14091" width="8" style="36" customWidth="1"/>
    <col min="14092" max="14092" width="18.140625" style="36" bestFit="1" customWidth="1"/>
    <col min="14093" max="14095" width="8" style="36" customWidth="1"/>
    <col min="14096" max="14097" width="14.5703125" style="36" bestFit="1" customWidth="1"/>
    <col min="14098" max="14336" width="8" style="36"/>
    <col min="14337" max="14338" width="1.5703125" style="36" customWidth="1"/>
    <col min="14339" max="14339" width="41.28515625" style="36" customWidth="1"/>
    <col min="14340" max="14340" width="15" style="36" customWidth="1"/>
    <col min="14341" max="14341" width="0.7109375" style="36" customWidth="1"/>
    <col min="14342" max="14342" width="0.85546875" style="36" customWidth="1"/>
    <col min="14343" max="14343" width="1.28515625" style="36" customWidth="1"/>
    <col min="14344" max="14344" width="51.140625" style="36" bestFit="1" customWidth="1"/>
    <col min="14345" max="14345" width="16.5703125" style="36" bestFit="1" customWidth="1"/>
    <col min="14346" max="14346" width="1.28515625" style="36" customWidth="1"/>
    <col min="14347" max="14347" width="8" style="36" customWidth="1"/>
    <col min="14348" max="14348" width="18.140625" style="36" bestFit="1" customWidth="1"/>
    <col min="14349" max="14351" width="8" style="36" customWidth="1"/>
    <col min="14352" max="14353" width="14.5703125" style="36" bestFit="1" customWidth="1"/>
    <col min="14354" max="14592" width="8" style="36"/>
    <col min="14593" max="14594" width="1.5703125" style="36" customWidth="1"/>
    <col min="14595" max="14595" width="41.28515625" style="36" customWidth="1"/>
    <col min="14596" max="14596" width="15" style="36" customWidth="1"/>
    <col min="14597" max="14597" width="0.7109375" style="36" customWidth="1"/>
    <col min="14598" max="14598" width="0.85546875" style="36" customWidth="1"/>
    <col min="14599" max="14599" width="1.28515625" style="36" customWidth="1"/>
    <col min="14600" max="14600" width="51.140625" style="36" bestFit="1" customWidth="1"/>
    <col min="14601" max="14601" width="16.5703125" style="36" bestFit="1" customWidth="1"/>
    <col min="14602" max="14602" width="1.28515625" style="36" customWidth="1"/>
    <col min="14603" max="14603" width="8" style="36" customWidth="1"/>
    <col min="14604" max="14604" width="18.140625" style="36" bestFit="1" customWidth="1"/>
    <col min="14605" max="14607" width="8" style="36" customWidth="1"/>
    <col min="14608" max="14609" width="14.5703125" style="36" bestFit="1" customWidth="1"/>
    <col min="14610" max="14848" width="8" style="36"/>
    <col min="14849" max="14850" width="1.5703125" style="36" customWidth="1"/>
    <col min="14851" max="14851" width="41.28515625" style="36" customWidth="1"/>
    <col min="14852" max="14852" width="15" style="36" customWidth="1"/>
    <col min="14853" max="14853" width="0.7109375" style="36" customWidth="1"/>
    <col min="14854" max="14854" width="0.85546875" style="36" customWidth="1"/>
    <col min="14855" max="14855" width="1.28515625" style="36" customWidth="1"/>
    <col min="14856" max="14856" width="51.140625" style="36" bestFit="1" customWidth="1"/>
    <col min="14857" max="14857" width="16.5703125" style="36" bestFit="1" customWidth="1"/>
    <col min="14858" max="14858" width="1.28515625" style="36" customWidth="1"/>
    <col min="14859" max="14859" width="8" style="36" customWidth="1"/>
    <col min="14860" max="14860" width="18.140625" style="36" bestFit="1" customWidth="1"/>
    <col min="14861" max="14863" width="8" style="36" customWidth="1"/>
    <col min="14864" max="14865" width="14.5703125" style="36" bestFit="1" customWidth="1"/>
    <col min="14866" max="15104" width="8" style="36"/>
    <col min="15105" max="15106" width="1.5703125" style="36" customWidth="1"/>
    <col min="15107" max="15107" width="41.28515625" style="36" customWidth="1"/>
    <col min="15108" max="15108" width="15" style="36" customWidth="1"/>
    <col min="15109" max="15109" width="0.7109375" style="36" customWidth="1"/>
    <col min="15110" max="15110" width="0.85546875" style="36" customWidth="1"/>
    <col min="15111" max="15111" width="1.28515625" style="36" customWidth="1"/>
    <col min="15112" max="15112" width="51.140625" style="36" bestFit="1" customWidth="1"/>
    <col min="15113" max="15113" width="16.5703125" style="36" bestFit="1" customWidth="1"/>
    <col min="15114" max="15114" width="1.28515625" style="36" customWidth="1"/>
    <col min="15115" max="15115" width="8" style="36" customWidth="1"/>
    <col min="15116" max="15116" width="18.140625" style="36" bestFit="1" customWidth="1"/>
    <col min="15117" max="15119" width="8" style="36" customWidth="1"/>
    <col min="15120" max="15121" width="14.5703125" style="36" bestFit="1" customWidth="1"/>
    <col min="15122" max="15360" width="8" style="36"/>
    <col min="15361" max="15362" width="1.5703125" style="36" customWidth="1"/>
    <col min="15363" max="15363" width="41.28515625" style="36" customWidth="1"/>
    <col min="15364" max="15364" width="15" style="36" customWidth="1"/>
    <col min="15365" max="15365" width="0.7109375" style="36" customWidth="1"/>
    <col min="15366" max="15366" width="0.85546875" style="36" customWidth="1"/>
    <col min="15367" max="15367" width="1.28515625" style="36" customWidth="1"/>
    <col min="15368" max="15368" width="51.140625" style="36" bestFit="1" customWidth="1"/>
    <col min="15369" max="15369" width="16.5703125" style="36" bestFit="1" customWidth="1"/>
    <col min="15370" max="15370" width="1.28515625" style="36" customWidth="1"/>
    <col min="15371" max="15371" width="8" style="36" customWidth="1"/>
    <col min="15372" max="15372" width="18.140625" style="36" bestFit="1" customWidth="1"/>
    <col min="15373" max="15375" width="8" style="36" customWidth="1"/>
    <col min="15376" max="15377" width="14.5703125" style="36" bestFit="1" customWidth="1"/>
    <col min="15378" max="15616" width="8" style="36"/>
    <col min="15617" max="15618" width="1.5703125" style="36" customWidth="1"/>
    <col min="15619" max="15619" width="41.28515625" style="36" customWidth="1"/>
    <col min="15620" max="15620" width="15" style="36" customWidth="1"/>
    <col min="15621" max="15621" width="0.7109375" style="36" customWidth="1"/>
    <col min="15622" max="15622" width="0.85546875" style="36" customWidth="1"/>
    <col min="15623" max="15623" width="1.28515625" style="36" customWidth="1"/>
    <col min="15624" max="15624" width="51.140625" style="36" bestFit="1" customWidth="1"/>
    <col min="15625" max="15625" width="16.5703125" style="36" bestFit="1" customWidth="1"/>
    <col min="15626" max="15626" width="1.28515625" style="36" customWidth="1"/>
    <col min="15627" max="15627" width="8" style="36" customWidth="1"/>
    <col min="15628" max="15628" width="18.140625" style="36" bestFit="1" customWidth="1"/>
    <col min="15629" max="15631" width="8" style="36" customWidth="1"/>
    <col min="15632" max="15633" width="14.5703125" style="36" bestFit="1" customWidth="1"/>
    <col min="15634" max="15872" width="8" style="36"/>
    <col min="15873" max="15874" width="1.5703125" style="36" customWidth="1"/>
    <col min="15875" max="15875" width="41.28515625" style="36" customWidth="1"/>
    <col min="15876" max="15876" width="15" style="36" customWidth="1"/>
    <col min="15877" max="15877" width="0.7109375" style="36" customWidth="1"/>
    <col min="15878" max="15878" width="0.85546875" style="36" customWidth="1"/>
    <col min="15879" max="15879" width="1.28515625" style="36" customWidth="1"/>
    <col min="15880" max="15880" width="51.140625" style="36" bestFit="1" customWidth="1"/>
    <col min="15881" max="15881" width="16.5703125" style="36" bestFit="1" customWidth="1"/>
    <col min="15882" max="15882" width="1.28515625" style="36" customWidth="1"/>
    <col min="15883" max="15883" width="8" style="36" customWidth="1"/>
    <col min="15884" max="15884" width="18.140625" style="36" bestFit="1" customWidth="1"/>
    <col min="15885" max="15887" width="8" style="36" customWidth="1"/>
    <col min="15888" max="15889" width="14.5703125" style="36" bestFit="1" customWidth="1"/>
    <col min="15890" max="16128" width="8" style="36"/>
    <col min="16129" max="16130" width="1.5703125" style="36" customWidth="1"/>
    <col min="16131" max="16131" width="41.28515625" style="36" customWidth="1"/>
    <col min="16132" max="16132" width="15" style="36" customWidth="1"/>
    <col min="16133" max="16133" width="0.7109375" style="36" customWidth="1"/>
    <col min="16134" max="16134" width="0.85546875" style="36" customWidth="1"/>
    <col min="16135" max="16135" width="1.28515625" style="36" customWidth="1"/>
    <col min="16136" max="16136" width="51.140625" style="36" bestFit="1" customWidth="1"/>
    <col min="16137" max="16137" width="16.5703125" style="36" bestFit="1" customWidth="1"/>
    <col min="16138" max="16138" width="1.28515625" style="36" customWidth="1"/>
    <col min="16139" max="16139" width="8" style="36" customWidth="1"/>
    <col min="16140" max="16140" width="18.140625" style="36" bestFit="1" customWidth="1"/>
    <col min="16141" max="16143" width="8" style="36" customWidth="1"/>
    <col min="16144" max="16145" width="14.5703125" style="36" bestFit="1" customWidth="1"/>
    <col min="16146" max="16384" width="8" style="36"/>
  </cols>
  <sheetData>
    <row r="1" spans="1:11" s="20" customFormat="1" ht="13.5" thickBot="1">
      <c r="A1" s="17"/>
      <c r="B1" s="761" t="s">
        <v>0</v>
      </c>
      <c r="C1" s="762"/>
      <c r="D1" s="762"/>
      <c r="E1" s="762"/>
      <c r="F1" s="762"/>
      <c r="G1" s="762"/>
      <c r="H1" s="762"/>
      <c r="I1" s="762"/>
      <c r="J1" s="18"/>
      <c r="K1" s="19"/>
    </row>
    <row r="2" spans="1:11" s="20" customFormat="1" ht="13.5" thickTop="1">
      <c r="A2" s="21"/>
      <c r="B2" s="763" t="s">
        <v>451</v>
      </c>
      <c r="C2" s="763"/>
      <c r="D2" s="763"/>
      <c r="E2" s="763"/>
      <c r="F2" s="763"/>
      <c r="G2" s="763"/>
      <c r="H2" s="763"/>
      <c r="I2" s="763"/>
      <c r="J2" s="22"/>
      <c r="K2" s="19"/>
    </row>
    <row r="3" spans="1:11" s="20" customFormat="1" ht="12.95">
      <c r="A3" s="23"/>
      <c r="B3" s="764" t="s">
        <v>452</v>
      </c>
      <c r="C3" s="764"/>
      <c r="D3" s="764"/>
      <c r="E3" s="764"/>
      <c r="F3" s="764"/>
      <c r="G3" s="764"/>
      <c r="H3" s="764"/>
      <c r="I3" s="764"/>
      <c r="J3" s="24"/>
      <c r="K3" s="19"/>
    </row>
    <row r="4" spans="1:11" s="20" customFormat="1" ht="12.95">
      <c r="A4" s="23"/>
      <c r="B4" s="765" t="s">
        <v>453</v>
      </c>
      <c r="C4" s="765"/>
      <c r="D4" s="765"/>
      <c r="E4" s="765"/>
      <c r="F4" s="765"/>
      <c r="G4" s="765"/>
      <c r="H4" s="765"/>
      <c r="I4" s="765"/>
      <c r="J4" s="24"/>
      <c r="K4" s="19"/>
    </row>
    <row r="5" spans="1:11" s="28" customFormat="1" ht="12.95">
      <c r="A5" s="25"/>
      <c r="B5" s="759" t="s">
        <v>454</v>
      </c>
      <c r="C5" s="759"/>
      <c r="D5" s="759"/>
      <c r="E5" s="759"/>
      <c r="F5" s="759"/>
      <c r="G5" s="759"/>
      <c r="H5" s="759"/>
      <c r="I5" s="759"/>
      <c r="J5" s="26"/>
      <c r="K5" s="27"/>
    </row>
    <row r="6" spans="1:11" s="28" customFormat="1" ht="12.95">
      <c r="A6" s="758" t="s">
        <v>455</v>
      </c>
      <c r="B6" s="759"/>
      <c r="C6" s="759"/>
      <c r="D6" s="759"/>
      <c r="E6" s="759"/>
      <c r="F6" s="27"/>
      <c r="G6" s="759" t="s">
        <v>456</v>
      </c>
      <c r="H6" s="759"/>
      <c r="I6" s="759"/>
      <c r="J6" s="760"/>
      <c r="K6" s="27"/>
    </row>
    <row r="7" spans="1:11" ht="12.95">
      <c r="A7" s="29"/>
      <c r="B7" s="30"/>
      <c r="C7" s="30"/>
      <c r="D7" s="200" t="s">
        <v>457</v>
      </c>
      <c r="E7" s="31"/>
      <c r="F7" s="32"/>
      <c r="G7" s="33"/>
      <c r="H7" s="207"/>
      <c r="I7" s="187" t="s">
        <v>457</v>
      </c>
      <c r="J7" s="60"/>
      <c r="K7" s="35"/>
    </row>
    <row r="8" spans="1:11" ht="12.95">
      <c r="A8" s="37"/>
      <c r="B8" s="38"/>
      <c r="C8" s="35"/>
      <c r="D8" s="201" t="s">
        <v>13</v>
      </c>
      <c r="E8" s="39"/>
      <c r="F8" s="32"/>
      <c r="G8" s="40"/>
      <c r="H8" s="208"/>
      <c r="I8" s="201" t="s">
        <v>13</v>
      </c>
      <c r="J8" s="34"/>
      <c r="K8" s="35"/>
    </row>
    <row r="9" spans="1:11" ht="12.95">
      <c r="A9" s="37" t="s">
        <v>16</v>
      </c>
      <c r="B9" s="38" t="s">
        <v>458</v>
      </c>
      <c r="C9" s="38" t="s">
        <v>17</v>
      </c>
      <c r="D9" s="202"/>
      <c r="E9" s="41"/>
      <c r="F9" s="35"/>
      <c r="G9" s="37"/>
      <c r="H9" s="52" t="s">
        <v>459</v>
      </c>
      <c r="I9" s="188"/>
      <c r="J9" s="42"/>
      <c r="K9" s="35"/>
    </row>
    <row r="10" spans="1:11" ht="12.95">
      <c r="A10" s="37"/>
      <c r="B10" s="38"/>
      <c r="C10" s="35"/>
      <c r="D10" s="202"/>
      <c r="E10" s="41"/>
      <c r="F10" s="35"/>
      <c r="G10" s="37"/>
      <c r="H10" s="52"/>
      <c r="I10" s="188"/>
      <c r="J10" s="42"/>
      <c r="K10" s="35"/>
    </row>
    <row r="11" spans="1:11" s="46" customFormat="1" ht="12.95">
      <c r="A11" s="121"/>
      <c r="B11" s="44" t="s">
        <v>20</v>
      </c>
      <c r="C11" s="177" t="s">
        <v>20</v>
      </c>
      <c r="D11" s="199">
        <f>'STATEMENT 1'!G15</f>
        <v>63514530000</v>
      </c>
      <c r="E11" s="45"/>
      <c r="F11" s="44"/>
      <c r="G11" s="43"/>
      <c r="H11" s="209" t="s">
        <v>460</v>
      </c>
      <c r="I11" s="190">
        <v>445342000</v>
      </c>
      <c r="J11" s="45"/>
      <c r="K11" s="44"/>
    </row>
    <row r="12" spans="1:11">
      <c r="A12" s="37"/>
      <c r="B12" s="35" t="s">
        <v>29</v>
      </c>
      <c r="C12" s="177" t="s">
        <v>21</v>
      </c>
      <c r="D12" s="199">
        <f>'STATEMENT 1'!G16</f>
        <v>251829621668.81</v>
      </c>
      <c r="E12" s="42"/>
      <c r="F12" s="35"/>
      <c r="G12" s="37"/>
      <c r="H12" s="210" t="s">
        <v>461</v>
      </c>
      <c r="I12" s="190">
        <v>1492637000</v>
      </c>
      <c r="J12" s="42"/>
      <c r="K12" s="35"/>
    </row>
    <row r="13" spans="1:11">
      <c r="A13" s="37"/>
      <c r="B13" s="35" t="s">
        <v>30</v>
      </c>
      <c r="C13" s="177" t="s">
        <v>22</v>
      </c>
      <c r="D13" s="199">
        <f>'STATEMENT 1'!G17</f>
        <v>13074113729.01</v>
      </c>
      <c r="E13" s="42"/>
      <c r="F13" s="35"/>
      <c r="G13" s="37"/>
      <c r="H13" s="210" t="s">
        <v>462</v>
      </c>
      <c r="I13" s="190">
        <v>397925000</v>
      </c>
      <c r="J13" s="42"/>
      <c r="K13" s="35"/>
    </row>
    <row r="14" spans="1:11">
      <c r="A14" s="37"/>
      <c r="B14" s="35" t="s">
        <v>21</v>
      </c>
      <c r="C14" s="177" t="s">
        <v>23</v>
      </c>
      <c r="D14" s="199">
        <f>'STATEMENT 1'!G18</f>
        <v>5891877907.7299995</v>
      </c>
      <c r="E14" s="42"/>
      <c r="F14" s="35"/>
      <c r="G14" s="37"/>
      <c r="H14" s="210" t="s">
        <v>463</v>
      </c>
      <c r="I14" s="190">
        <v>1210325000</v>
      </c>
      <c r="J14" s="42"/>
      <c r="K14" s="35"/>
    </row>
    <row r="15" spans="1:11">
      <c r="A15" s="37"/>
      <c r="B15" s="35" t="s">
        <v>34</v>
      </c>
      <c r="C15" s="177" t="s">
        <v>24</v>
      </c>
      <c r="D15" s="199">
        <f>'STATEMENT 1'!G19</f>
        <v>224233106.19</v>
      </c>
      <c r="E15" s="42"/>
      <c r="F15" s="35"/>
      <c r="G15" s="37"/>
      <c r="H15" s="210" t="s">
        <v>464</v>
      </c>
      <c r="I15" s="190">
        <v>505911000</v>
      </c>
      <c r="J15" s="42"/>
      <c r="K15" s="35"/>
    </row>
    <row r="16" spans="1:11">
      <c r="A16" s="37"/>
      <c r="B16" s="35" t="s">
        <v>22</v>
      </c>
      <c r="C16" s="177" t="s">
        <v>25</v>
      </c>
      <c r="D16" s="199">
        <f>'STATEMENT 1'!G20</f>
        <v>28674790000</v>
      </c>
      <c r="E16" s="42"/>
      <c r="F16" s="35"/>
      <c r="G16" s="37"/>
      <c r="H16" s="211" t="s">
        <v>465</v>
      </c>
      <c r="I16" s="190">
        <v>372207000</v>
      </c>
      <c r="J16" s="42"/>
      <c r="K16" s="35"/>
    </row>
    <row r="17" spans="1:11">
      <c r="A17" s="37"/>
      <c r="B17" s="35" t="s">
        <v>466</v>
      </c>
      <c r="C17" s="177" t="s">
        <v>26</v>
      </c>
      <c r="D17" s="199">
        <f>'STATEMENT 1'!G21</f>
        <v>10706209990.93</v>
      </c>
      <c r="E17" s="42"/>
      <c r="F17" s="35"/>
      <c r="G17" s="37"/>
      <c r="H17" s="211" t="s">
        <v>467</v>
      </c>
      <c r="I17" s="190">
        <v>908786000</v>
      </c>
      <c r="J17" s="42"/>
      <c r="K17" s="35"/>
    </row>
    <row r="18" spans="1:11">
      <c r="A18" s="37"/>
      <c r="B18" s="35" t="s">
        <v>24</v>
      </c>
      <c r="C18" s="177" t="s">
        <v>27</v>
      </c>
      <c r="D18" s="199">
        <f>'STATEMENT 1'!G22</f>
        <v>48119125402.449997</v>
      </c>
      <c r="E18" s="42"/>
      <c r="F18" s="35"/>
      <c r="G18" s="37"/>
      <c r="H18" s="210" t="s">
        <v>468</v>
      </c>
      <c r="I18" s="190">
        <v>1255241000</v>
      </c>
      <c r="J18" s="42"/>
      <c r="K18" s="35"/>
    </row>
    <row r="19" spans="1:11">
      <c r="A19" s="37"/>
      <c r="B19" s="35" t="s">
        <v>25</v>
      </c>
      <c r="C19" s="177" t="s">
        <v>28</v>
      </c>
      <c r="D19" s="199">
        <f>'STATEMENT 1'!G23</f>
        <v>3118889465.1999998</v>
      </c>
      <c r="E19" s="42"/>
      <c r="F19" s="35"/>
      <c r="G19" s="37"/>
      <c r="H19" s="210" t="s">
        <v>469</v>
      </c>
      <c r="I19" s="190">
        <v>261052000</v>
      </c>
      <c r="J19" s="42"/>
      <c r="K19" s="35"/>
    </row>
    <row r="20" spans="1:11">
      <c r="A20" s="37"/>
      <c r="B20" s="35" t="s">
        <v>470</v>
      </c>
      <c r="C20" s="177" t="s">
        <v>29</v>
      </c>
      <c r="D20" s="199">
        <f>'STATEMENT 1'!G24</f>
        <v>279036663433.38</v>
      </c>
      <c r="E20" s="42"/>
      <c r="F20" s="35"/>
      <c r="G20" s="37"/>
      <c r="H20" s="210" t="s">
        <v>471</v>
      </c>
      <c r="I20" s="190">
        <v>10740456000</v>
      </c>
      <c r="J20" s="42"/>
      <c r="K20" s="35"/>
    </row>
    <row r="21" spans="1:11">
      <c r="A21" s="37"/>
      <c r="B21" s="35" t="s">
        <v>27</v>
      </c>
      <c r="C21" s="177" t="s">
        <v>30</v>
      </c>
      <c r="D21" s="199">
        <f>'STATEMENT 1'!G25</f>
        <v>104002808052.43001</v>
      </c>
      <c r="E21" s="42"/>
      <c r="F21" s="35"/>
      <c r="G21" s="37"/>
      <c r="H21" s="212" t="s">
        <v>472</v>
      </c>
      <c r="I21" s="190">
        <v>1176554000</v>
      </c>
      <c r="J21" s="42"/>
      <c r="K21" s="35"/>
    </row>
    <row r="22" spans="1:11">
      <c r="A22" s="37"/>
      <c r="B22" s="35" t="s">
        <v>28</v>
      </c>
      <c r="C22" s="177" t="s">
        <v>31</v>
      </c>
      <c r="D22" s="199">
        <f>'STATEMENT 1'!G26</f>
        <v>6620368517.1000004</v>
      </c>
      <c r="E22" s="42"/>
      <c r="F22" s="35"/>
      <c r="G22" s="37"/>
      <c r="H22" s="211" t="s">
        <v>473</v>
      </c>
      <c r="I22" s="190">
        <v>12037068000</v>
      </c>
      <c r="J22" s="42"/>
      <c r="K22" s="35"/>
    </row>
    <row r="23" spans="1:11">
      <c r="A23" s="37"/>
      <c r="B23" s="35" t="s">
        <v>31</v>
      </c>
      <c r="C23" s="177" t="s">
        <v>32</v>
      </c>
      <c r="D23" s="199">
        <f>'STATEMENT 1'!G27</f>
        <v>3607997396.4099998</v>
      </c>
      <c r="E23" s="42"/>
      <c r="F23" s="35"/>
      <c r="G23" s="37"/>
      <c r="H23" s="212" t="s">
        <v>474</v>
      </c>
      <c r="I23" s="190">
        <v>21662865000</v>
      </c>
      <c r="J23" s="42"/>
      <c r="K23" s="35"/>
    </row>
    <row r="24" spans="1:11">
      <c r="A24" s="37"/>
      <c r="B24" s="35" t="s">
        <v>32</v>
      </c>
      <c r="C24" s="177" t="s">
        <v>33</v>
      </c>
      <c r="D24" s="199">
        <f>'STATEMENT 1'!G28</f>
        <v>3592752403.3499999</v>
      </c>
      <c r="E24" s="49"/>
      <c r="F24" s="48"/>
      <c r="G24" s="50"/>
      <c r="H24" s="212" t="s">
        <v>475</v>
      </c>
      <c r="I24" s="190">
        <v>432665130000</v>
      </c>
      <c r="J24" s="42"/>
      <c r="K24" s="35"/>
    </row>
    <row r="25" spans="1:11" ht="12.95">
      <c r="A25" s="37"/>
      <c r="B25" s="38" t="s">
        <v>476</v>
      </c>
      <c r="C25" s="177" t="s">
        <v>34</v>
      </c>
      <c r="D25" s="199">
        <f>'STATEMENT 1'!G29</f>
        <v>0</v>
      </c>
      <c r="E25" s="51"/>
      <c r="F25" s="38"/>
      <c r="G25" s="52"/>
      <c r="H25" s="213" t="s">
        <v>477</v>
      </c>
      <c r="I25" s="190">
        <v>117140673000</v>
      </c>
      <c r="J25" s="42"/>
      <c r="K25" s="35"/>
    </row>
    <row r="26" spans="1:11" ht="12.95">
      <c r="A26" s="37"/>
      <c r="B26" s="38"/>
      <c r="C26" s="177" t="s">
        <v>35</v>
      </c>
      <c r="D26" s="199">
        <f>'STATEMENT 1'!G30</f>
        <v>110054578.59999999</v>
      </c>
      <c r="E26" s="51"/>
      <c r="F26" s="38"/>
      <c r="G26" s="52"/>
      <c r="H26" s="212" t="s">
        <v>478</v>
      </c>
      <c r="I26" s="190">
        <v>875397000</v>
      </c>
      <c r="J26" s="42"/>
      <c r="K26" s="35"/>
    </row>
    <row r="27" spans="1:11" ht="12.95">
      <c r="A27" s="37"/>
      <c r="B27" s="38"/>
      <c r="C27" s="177" t="s">
        <v>36</v>
      </c>
      <c r="D27" s="199">
        <f>'STATEMENT 1'!G31</f>
        <v>327036504</v>
      </c>
      <c r="E27" s="51"/>
      <c r="F27" s="38"/>
      <c r="G27" s="52"/>
      <c r="H27" s="212" t="s">
        <v>479</v>
      </c>
      <c r="I27" s="190">
        <v>14334947000</v>
      </c>
      <c r="J27" s="42"/>
      <c r="K27" s="35"/>
    </row>
    <row r="28" spans="1:11" ht="12.95">
      <c r="A28" s="37"/>
      <c r="B28" s="38"/>
      <c r="C28" s="177" t="s">
        <v>37</v>
      </c>
      <c r="D28" s="199">
        <f>'STATEMENT 1'!G32</f>
        <v>1844736282</v>
      </c>
      <c r="E28" s="51"/>
      <c r="F28" s="38"/>
      <c r="G28" s="52"/>
      <c r="H28" s="212" t="s">
        <v>480</v>
      </c>
      <c r="I28" s="190">
        <v>5842136000</v>
      </c>
      <c r="J28" s="42"/>
      <c r="K28" s="35"/>
    </row>
    <row r="29" spans="1:11" ht="12.95">
      <c r="A29" s="37"/>
      <c r="B29" s="38"/>
      <c r="C29" s="177"/>
      <c r="D29" s="199"/>
      <c r="E29" s="51"/>
      <c r="F29" s="38"/>
      <c r="G29" s="52"/>
      <c r="H29" s="213" t="s">
        <v>481</v>
      </c>
      <c r="I29" s="190">
        <v>16977027000</v>
      </c>
      <c r="J29" s="42"/>
      <c r="K29" s="35"/>
    </row>
    <row r="30" spans="1:11" ht="12.95">
      <c r="A30" s="37"/>
      <c r="B30" s="38"/>
      <c r="C30" s="15" t="s">
        <v>112</v>
      </c>
      <c r="D30" s="203">
        <f>SUM(D11:D29)</f>
        <v>824295808437.58997</v>
      </c>
      <c r="E30" s="51"/>
      <c r="F30" s="38"/>
      <c r="G30" s="52"/>
      <c r="H30" s="213" t="s">
        <v>482</v>
      </c>
      <c r="I30" s="190">
        <v>147410769000</v>
      </c>
      <c r="J30" s="42"/>
      <c r="K30" s="35"/>
    </row>
    <row r="31" spans="1:11" ht="12.95">
      <c r="A31" s="37"/>
      <c r="B31" s="38"/>
      <c r="C31" s="35"/>
      <c r="D31" s="203"/>
      <c r="E31" s="51"/>
      <c r="F31" s="38"/>
      <c r="G31" s="52"/>
      <c r="H31" s="212" t="s">
        <v>483</v>
      </c>
      <c r="I31" s="190">
        <v>119198916000</v>
      </c>
      <c r="J31" s="42"/>
      <c r="K31" s="35"/>
    </row>
    <row r="32" spans="1:11" ht="12.95">
      <c r="A32" s="37"/>
      <c r="B32" s="38"/>
      <c r="C32" s="35"/>
      <c r="D32" s="204"/>
      <c r="E32" s="51"/>
      <c r="F32" s="38"/>
      <c r="G32" s="52"/>
      <c r="H32" s="213" t="s">
        <v>484</v>
      </c>
      <c r="I32" s="190">
        <v>5361112000</v>
      </c>
      <c r="J32" s="42"/>
      <c r="K32" s="35"/>
    </row>
    <row r="33" spans="1:11" ht="14.45">
      <c r="A33" s="52"/>
      <c r="B33" s="38"/>
      <c r="C33" s="116" t="s">
        <v>40</v>
      </c>
      <c r="D33" s="204">
        <f>'STATEMENT 1'!G36</f>
        <v>65228522019.203339</v>
      </c>
      <c r="E33" s="51"/>
      <c r="F33" s="38"/>
      <c r="G33" s="52"/>
      <c r="H33" s="210" t="s">
        <v>485</v>
      </c>
      <c r="I33" s="190">
        <v>14035828000</v>
      </c>
      <c r="J33" s="42"/>
      <c r="K33" s="35"/>
    </row>
    <row r="34" spans="1:11" ht="12.95">
      <c r="A34" s="37"/>
      <c r="B34" s="38"/>
      <c r="C34" s="35"/>
      <c r="D34" s="204"/>
      <c r="E34" s="51"/>
      <c r="F34" s="38"/>
      <c r="G34" s="52"/>
      <c r="H34" s="210" t="s">
        <v>486</v>
      </c>
      <c r="I34" s="190">
        <v>6472864000</v>
      </c>
      <c r="J34" s="42"/>
      <c r="K34" s="35"/>
    </row>
    <row r="35" spans="1:11" ht="12.95">
      <c r="A35" s="37"/>
      <c r="B35" s="38"/>
      <c r="C35" s="38" t="s">
        <v>487</v>
      </c>
      <c r="D35" s="203">
        <f>D33</f>
        <v>65228522019.203339</v>
      </c>
      <c r="E35" s="51"/>
      <c r="F35" s="38"/>
      <c r="G35" s="52"/>
      <c r="H35" s="210" t="s">
        <v>488</v>
      </c>
      <c r="I35" s="190">
        <v>11386724000</v>
      </c>
      <c r="J35" s="42"/>
      <c r="K35" s="35"/>
    </row>
    <row r="36" spans="1:11" ht="12.95">
      <c r="A36" s="37"/>
      <c r="B36" s="38"/>
      <c r="C36" s="38"/>
      <c r="D36" s="203"/>
      <c r="E36" s="51"/>
      <c r="F36" s="38"/>
      <c r="G36" s="52"/>
      <c r="H36" s="210" t="s">
        <v>489</v>
      </c>
      <c r="I36" s="190">
        <v>16354350000</v>
      </c>
      <c r="J36" s="42"/>
      <c r="K36" s="35"/>
    </row>
    <row r="37" spans="1:11" ht="12.95">
      <c r="A37" s="37"/>
      <c r="B37" s="38"/>
      <c r="C37" s="35"/>
      <c r="D37" s="204"/>
      <c r="E37" s="51"/>
      <c r="F37" s="38"/>
      <c r="G37" s="52"/>
      <c r="H37" s="212" t="s">
        <v>490</v>
      </c>
      <c r="I37" s="190">
        <v>21854816000</v>
      </c>
      <c r="J37" s="42"/>
      <c r="K37" s="35"/>
    </row>
    <row r="38" spans="1:11" ht="12.95">
      <c r="A38" s="52"/>
      <c r="B38" s="38"/>
      <c r="C38" s="38" t="s">
        <v>491</v>
      </c>
      <c r="D38" s="203">
        <f>'STATEMENT 1'!G53</f>
        <v>1283400000</v>
      </c>
      <c r="E38" s="51"/>
      <c r="F38" s="38"/>
      <c r="G38" s="52"/>
      <c r="H38" s="37"/>
      <c r="J38" s="42"/>
      <c r="K38" s="35"/>
    </row>
    <row r="39" spans="1:11" ht="12.95">
      <c r="A39" s="52"/>
      <c r="B39" s="38"/>
      <c r="C39" s="35"/>
      <c r="D39" s="204"/>
      <c r="E39" s="51"/>
      <c r="F39" s="38"/>
      <c r="G39" s="52"/>
      <c r="H39" s="37"/>
      <c r="I39" s="193"/>
      <c r="J39" s="42"/>
      <c r="K39" s="35"/>
    </row>
    <row r="40" spans="1:11" ht="12.95">
      <c r="A40" s="52"/>
      <c r="B40" s="38"/>
      <c r="C40" s="35"/>
      <c r="D40" s="203"/>
      <c r="E40" s="51"/>
      <c r="F40" s="38"/>
      <c r="G40" s="52"/>
      <c r="H40" s="37"/>
      <c r="I40" s="193"/>
      <c r="J40" s="42"/>
      <c r="K40" s="35"/>
    </row>
    <row r="41" spans="1:11" ht="12.95">
      <c r="A41" s="52"/>
      <c r="B41" s="38"/>
      <c r="C41" s="35"/>
      <c r="D41" s="203"/>
      <c r="E41" s="51"/>
      <c r="F41" s="38"/>
      <c r="G41" s="52"/>
      <c r="H41" s="61"/>
      <c r="I41" s="190"/>
      <c r="J41" s="42"/>
      <c r="K41" s="35"/>
    </row>
    <row r="42" spans="1:11" ht="12.95">
      <c r="A42" s="52"/>
      <c r="B42" s="38" t="s">
        <v>492</v>
      </c>
      <c r="C42" s="35"/>
      <c r="D42" s="203"/>
      <c r="E42" s="51"/>
      <c r="F42" s="38"/>
      <c r="G42" s="52"/>
      <c r="H42" s="37"/>
      <c r="I42" s="190"/>
      <c r="J42" s="42"/>
      <c r="K42" s="35"/>
    </row>
    <row r="43" spans="1:11" ht="12.95">
      <c r="A43" s="52"/>
      <c r="B43" s="35"/>
      <c r="C43" s="38"/>
      <c r="D43" s="203"/>
      <c r="E43" s="51"/>
      <c r="F43" s="38"/>
      <c r="G43" s="52"/>
      <c r="H43" s="214" t="s">
        <v>493</v>
      </c>
      <c r="I43" s="195">
        <f>SUM(I11:I37)</f>
        <v>982377058000</v>
      </c>
      <c r="J43" s="42"/>
      <c r="K43" s="35"/>
    </row>
    <row r="44" spans="1:11" ht="12.95">
      <c r="A44" s="52"/>
      <c r="B44" s="38" t="s">
        <v>494</v>
      </c>
      <c r="C44" s="35"/>
      <c r="D44" s="203"/>
      <c r="E44" s="51"/>
      <c r="F44" s="38"/>
      <c r="G44" s="52"/>
      <c r="H44" s="210"/>
      <c r="I44" s="190"/>
      <c r="J44" s="42"/>
      <c r="K44" s="35"/>
    </row>
    <row r="45" spans="1:11" ht="12.95">
      <c r="A45" s="52"/>
      <c r="B45" s="35"/>
      <c r="C45" s="38"/>
      <c r="D45" s="203"/>
      <c r="E45" s="51"/>
      <c r="F45" s="35"/>
      <c r="G45" s="37"/>
      <c r="H45" s="210" t="s">
        <v>495</v>
      </c>
      <c r="I45" s="195">
        <v>-36077303000</v>
      </c>
      <c r="J45" s="42"/>
      <c r="K45" s="35"/>
    </row>
    <row r="46" spans="1:11" ht="12.95">
      <c r="A46" s="52"/>
      <c r="B46" s="35"/>
      <c r="C46" s="35"/>
      <c r="D46" s="204"/>
      <c r="E46" s="42"/>
      <c r="F46" s="35"/>
      <c r="G46" s="37"/>
      <c r="H46" s="37"/>
      <c r="I46" s="35"/>
      <c r="J46" s="42"/>
      <c r="K46" s="35"/>
    </row>
    <row r="47" spans="1:11" ht="12.95">
      <c r="A47" s="52"/>
      <c r="B47" s="35"/>
      <c r="C47" s="35"/>
      <c r="D47" s="204"/>
      <c r="E47" s="42"/>
      <c r="F47" s="35"/>
      <c r="G47" s="37"/>
      <c r="H47" s="37"/>
      <c r="I47" s="35"/>
      <c r="J47" s="42"/>
      <c r="K47" s="35"/>
    </row>
    <row r="48" spans="1:11">
      <c r="A48" s="37"/>
      <c r="B48" s="35"/>
      <c r="C48" s="35"/>
      <c r="D48" s="204"/>
      <c r="E48" s="42"/>
      <c r="F48" s="35"/>
      <c r="G48" s="37"/>
      <c r="H48" s="37"/>
      <c r="I48" s="35"/>
      <c r="J48" s="42"/>
      <c r="K48" s="35"/>
    </row>
    <row r="49" spans="1:11">
      <c r="A49" s="37"/>
      <c r="B49" s="35"/>
      <c r="C49" s="35"/>
      <c r="D49" s="204"/>
      <c r="E49" s="42"/>
      <c r="F49" s="35"/>
      <c r="G49" s="37"/>
      <c r="H49" s="37"/>
      <c r="I49" s="193"/>
      <c r="J49" s="42"/>
      <c r="K49" s="35"/>
    </row>
    <row r="50" spans="1:11">
      <c r="A50" s="37"/>
      <c r="B50" s="35"/>
      <c r="C50" s="35"/>
      <c r="D50" s="204"/>
      <c r="E50" s="42"/>
      <c r="F50" s="35"/>
      <c r="G50" s="37"/>
      <c r="H50" s="37"/>
      <c r="I50" s="193"/>
      <c r="J50" s="42"/>
      <c r="K50" s="35"/>
    </row>
    <row r="51" spans="1:11" ht="13.5" thickBot="1">
      <c r="A51" s="37"/>
      <c r="B51" s="38" t="s">
        <v>496</v>
      </c>
      <c r="C51" s="38" t="s">
        <v>384</v>
      </c>
      <c r="D51" s="205">
        <f>D30+D33+D38</f>
        <v>890807730456.79333</v>
      </c>
      <c r="E51" s="42"/>
      <c r="F51" s="35"/>
      <c r="G51" s="37"/>
      <c r="H51" s="52" t="s">
        <v>497</v>
      </c>
      <c r="I51" s="196">
        <f>I43+I45</f>
        <v>946299755000</v>
      </c>
      <c r="J51" s="42"/>
      <c r="K51" s="35"/>
    </row>
    <row r="52" spans="1:11" ht="13.5" thickTop="1">
      <c r="A52" s="54"/>
      <c r="B52" s="55"/>
      <c r="C52" s="56"/>
      <c r="D52" s="206"/>
      <c r="E52" s="57"/>
      <c r="F52" s="38"/>
      <c r="G52" s="58"/>
      <c r="H52" s="58"/>
      <c r="I52" s="192"/>
      <c r="J52" s="59"/>
      <c r="K52" s="35"/>
    </row>
    <row r="53" spans="1:11" s="53" customFormat="1" ht="12.95">
      <c r="A53" s="766" t="s">
        <v>498</v>
      </c>
      <c r="B53" s="767"/>
      <c r="C53" s="767"/>
      <c r="D53" s="767"/>
      <c r="E53" s="767"/>
      <c r="F53" s="767"/>
      <c r="G53" s="767"/>
      <c r="H53" s="767"/>
      <c r="I53" s="767"/>
      <c r="J53" s="768"/>
    </row>
    <row r="54" spans="1:11" s="53" customFormat="1" ht="12.95">
      <c r="A54" s="758" t="s">
        <v>455</v>
      </c>
      <c r="B54" s="759"/>
      <c r="C54" s="759"/>
      <c r="D54" s="759"/>
      <c r="E54" s="759"/>
      <c r="F54" s="27"/>
      <c r="G54" s="759" t="s">
        <v>456</v>
      </c>
      <c r="H54" s="759"/>
      <c r="I54" s="759"/>
      <c r="J54" s="760"/>
    </row>
    <row r="55" spans="1:11" ht="12.95">
      <c r="A55" s="29"/>
      <c r="B55" s="30"/>
      <c r="C55" s="30"/>
      <c r="D55" s="200" t="s">
        <v>457</v>
      </c>
      <c r="E55" s="31"/>
      <c r="F55" s="32"/>
      <c r="G55" s="33"/>
      <c r="H55" s="207"/>
      <c r="I55" s="187" t="s">
        <v>457</v>
      </c>
      <c r="J55" s="60"/>
      <c r="K55" s="35"/>
    </row>
    <row r="56" spans="1:11" ht="12.95">
      <c r="A56" s="37"/>
      <c r="B56" s="38"/>
      <c r="C56" s="35"/>
      <c r="D56" s="201" t="s">
        <v>13</v>
      </c>
      <c r="E56" s="39"/>
      <c r="F56" s="32"/>
      <c r="G56" s="40"/>
      <c r="H56" s="208"/>
      <c r="I56" s="201" t="s">
        <v>13</v>
      </c>
      <c r="J56" s="34"/>
      <c r="K56" s="35"/>
    </row>
    <row r="57" spans="1:11" s="53" customFormat="1" ht="12.95">
      <c r="A57" s="61"/>
      <c r="B57" s="38" t="s">
        <v>499</v>
      </c>
      <c r="C57" s="135" t="s">
        <v>44</v>
      </c>
      <c r="D57" s="215"/>
      <c r="E57" s="62"/>
      <c r="F57" s="47"/>
      <c r="G57" s="61"/>
      <c r="H57" s="223" t="s">
        <v>500</v>
      </c>
      <c r="I57" s="193"/>
      <c r="J57" s="62"/>
    </row>
    <row r="58" spans="1:11" s="53" customFormat="1" ht="12.95">
      <c r="A58" s="61"/>
      <c r="B58" s="38"/>
      <c r="C58" s="135"/>
      <c r="D58" s="215"/>
      <c r="E58" s="62"/>
      <c r="F58" s="47"/>
      <c r="G58" s="61"/>
      <c r="H58" s="52"/>
      <c r="I58" s="193"/>
      <c r="J58" s="62"/>
    </row>
    <row r="59" spans="1:11" s="65" customFormat="1">
      <c r="A59" s="63"/>
      <c r="B59" s="44" t="s">
        <v>501</v>
      </c>
      <c r="C59" s="133" t="s">
        <v>502</v>
      </c>
      <c r="D59" s="216">
        <v>0</v>
      </c>
      <c r="E59" s="45"/>
      <c r="F59" s="44"/>
      <c r="G59" s="43"/>
      <c r="H59" s="209" t="s">
        <v>471</v>
      </c>
      <c r="I59" s="197">
        <v>3734943000</v>
      </c>
      <c r="J59" s="64"/>
    </row>
    <row r="60" spans="1:11">
      <c r="A60" s="37"/>
      <c r="B60" s="35" t="s">
        <v>503</v>
      </c>
      <c r="C60" s="132" t="s">
        <v>503</v>
      </c>
      <c r="D60" s="204">
        <v>168331256.81</v>
      </c>
      <c r="E60" s="42"/>
      <c r="F60" s="35"/>
      <c r="G60" s="37"/>
      <c r="H60" s="210" t="s">
        <v>474</v>
      </c>
      <c r="I60" s="197">
        <v>33012991000</v>
      </c>
      <c r="J60" s="42"/>
    </row>
    <row r="61" spans="1:11">
      <c r="A61" s="37"/>
      <c r="B61" s="35" t="s">
        <v>504</v>
      </c>
      <c r="C61" s="132" t="s">
        <v>505</v>
      </c>
      <c r="D61" s="204">
        <v>15826200000</v>
      </c>
      <c r="E61" s="42"/>
      <c r="F61" s="35"/>
      <c r="G61" s="37"/>
      <c r="H61" s="212" t="s">
        <v>475</v>
      </c>
      <c r="I61" s="197">
        <v>12703152000</v>
      </c>
      <c r="J61" s="42"/>
    </row>
    <row r="62" spans="1:11">
      <c r="A62" s="37"/>
      <c r="B62" s="35" t="s">
        <v>502</v>
      </c>
      <c r="C62" s="132"/>
      <c r="D62" s="204"/>
      <c r="E62" s="42"/>
      <c r="F62" s="35"/>
      <c r="G62" s="37"/>
      <c r="H62" s="210" t="s">
        <v>477</v>
      </c>
      <c r="I62" s="197">
        <v>5936000000</v>
      </c>
      <c r="J62" s="42"/>
    </row>
    <row r="63" spans="1:11" ht="12.95">
      <c r="A63" s="37"/>
      <c r="B63" s="35"/>
      <c r="C63" s="122" t="s">
        <v>506</v>
      </c>
      <c r="D63" s="203">
        <v>15994531256.809999</v>
      </c>
      <c r="E63" s="42"/>
      <c r="F63" s="35"/>
      <c r="G63" s="37"/>
      <c r="H63" s="210" t="s">
        <v>479</v>
      </c>
      <c r="I63" s="197">
        <v>108776000</v>
      </c>
      <c r="J63" s="42"/>
    </row>
    <row r="64" spans="1:11" ht="12.95">
      <c r="A64" s="37"/>
      <c r="B64" s="38" t="s">
        <v>507</v>
      </c>
      <c r="C64" s="132"/>
      <c r="D64" s="203"/>
      <c r="E64" s="51"/>
      <c r="F64" s="38"/>
      <c r="G64" s="52"/>
      <c r="H64" s="213" t="s">
        <v>508</v>
      </c>
      <c r="I64" s="197">
        <v>1553336000</v>
      </c>
      <c r="J64" s="42"/>
    </row>
    <row r="65" spans="1:10">
      <c r="A65" s="37"/>
      <c r="B65" s="35"/>
      <c r="C65" s="132"/>
      <c r="D65" s="204"/>
      <c r="E65" s="42"/>
      <c r="F65" s="35"/>
      <c r="G65" s="37"/>
      <c r="H65" s="212" t="s">
        <v>483</v>
      </c>
      <c r="I65" s="197">
        <v>6428704000</v>
      </c>
      <c r="J65" s="42"/>
    </row>
    <row r="66" spans="1:10" ht="12.95">
      <c r="A66" s="37"/>
      <c r="B66" s="38" t="s">
        <v>509</v>
      </c>
      <c r="C66" s="122" t="s">
        <v>509</v>
      </c>
      <c r="D66" s="204"/>
      <c r="E66" s="42"/>
      <c r="F66" s="35"/>
      <c r="G66" s="37"/>
      <c r="H66" s="210" t="s">
        <v>485</v>
      </c>
      <c r="I66" s="197">
        <v>7215476000</v>
      </c>
      <c r="J66" s="42"/>
    </row>
    <row r="67" spans="1:10">
      <c r="A67" s="37"/>
      <c r="B67" s="35"/>
      <c r="C67" s="132"/>
      <c r="D67" s="204"/>
      <c r="E67" s="42"/>
      <c r="F67" s="35"/>
      <c r="G67" s="37"/>
      <c r="H67" s="210" t="s">
        <v>486</v>
      </c>
      <c r="I67" s="197">
        <v>810000000</v>
      </c>
      <c r="J67" s="42"/>
    </row>
    <row r="68" spans="1:10" ht="12.95">
      <c r="A68" s="37"/>
      <c r="B68" s="35"/>
      <c r="C68" s="122" t="s">
        <v>510</v>
      </c>
      <c r="D68" s="204"/>
      <c r="E68" s="42"/>
      <c r="F68" s="35"/>
      <c r="G68" s="37"/>
      <c r="H68" s="210" t="s">
        <v>488</v>
      </c>
      <c r="I68" s="197">
        <v>967174000</v>
      </c>
      <c r="J68" s="42"/>
    </row>
    <row r="69" spans="1:10">
      <c r="A69" s="37"/>
      <c r="B69" s="35"/>
      <c r="C69" s="132"/>
      <c r="D69" s="204"/>
      <c r="E69" s="42"/>
      <c r="F69" s="35"/>
      <c r="G69" s="37"/>
      <c r="H69" s="210" t="s">
        <v>489</v>
      </c>
      <c r="I69" s="197">
        <v>689400000</v>
      </c>
      <c r="J69" s="42"/>
    </row>
    <row r="70" spans="1:10">
      <c r="A70" s="37"/>
      <c r="B70" s="35"/>
      <c r="C70" s="179" t="s">
        <v>408</v>
      </c>
      <c r="D70" s="217">
        <v>0</v>
      </c>
      <c r="E70" s="42"/>
      <c r="F70" s="35"/>
      <c r="G70" s="37"/>
      <c r="H70" s="212" t="s">
        <v>490</v>
      </c>
      <c r="I70" s="197">
        <v>2212938000</v>
      </c>
      <c r="J70" s="42"/>
    </row>
    <row r="71" spans="1:10">
      <c r="A71" s="37"/>
      <c r="B71" s="35"/>
      <c r="C71" s="179" t="s">
        <v>409</v>
      </c>
      <c r="D71" s="217">
        <v>0</v>
      </c>
      <c r="E71" s="42"/>
      <c r="F71" s="35"/>
      <c r="G71" s="37"/>
      <c r="H71" s="210"/>
      <c r="I71" s="197"/>
      <c r="J71" s="42"/>
    </row>
    <row r="72" spans="1:10">
      <c r="A72" s="37"/>
      <c r="B72" s="35"/>
      <c r="C72" s="179" t="s">
        <v>410</v>
      </c>
      <c r="D72" s="217">
        <v>0</v>
      </c>
      <c r="E72" s="42"/>
      <c r="F72" s="35"/>
      <c r="G72" s="37"/>
      <c r="H72" s="210"/>
      <c r="I72" s="197"/>
      <c r="J72" s="42"/>
    </row>
    <row r="73" spans="1:10">
      <c r="A73" s="37"/>
      <c r="B73" s="35"/>
      <c r="C73" s="179" t="s">
        <v>411</v>
      </c>
      <c r="D73" s="217">
        <v>0</v>
      </c>
      <c r="E73" s="42"/>
      <c r="F73" s="35"/>
      <c r="G73" s="37"/>
      <c r="H73" s="210"/>
      <c r="I73" s="197"/>
      <c r="J73" s="42"/>
    </row>
    <row r="74" spans="1:10">
      <c r="A74" s="37"/>
      <c r="B74" s="35"/>
      <c r="C74" s="179" t="s">
        <v>401</v>
      </c>
      <c r="D74" s="217">
        <v>0</v>
      </c>
      <c r="E74" s="42"/>
      <c r="F74" s="35"/>
      <c r="G74" s="37"/>
      <c r="H74" s="212"/>
      <c r="I74" s="197"/>
      <c r="J74" s="42"/>
    </row>
    <row r="75" spans="1:10">
      <c r="A75" s="37"/>
      <c r="B75" s="35"/>
      <c r="C75" s="179" t="s">
        <v>412</v>
      </c>
      <c r="D75" s="217">
        <v>0</v>
      </c>
      <c r="E75" s="42"/>
      <c r="F75" s="35"/>
      <c r="G75" s="37"/>
      <c r="H75" s="212"/>
      <c r="I75" s="197"/>
      <c r="J75" s="42"/>
    </row>
    <row r="76" spans="1:10">
      <c r="A76" s="37"/>
      <c r="B76" s="35"/>
      <c r="C76" s="179" t="s">
        <v>413</v>
      </c>
      <c r="D76" s="217">
        <v>0</v>
      </c>
      <c r="E76" s="42"/>
      <c r="F76" s="35"/>
      <c r="G76" s="37"/>
      <c r="H76" s="224"/>
      <c r="I76" s="198"/>
      <c r="J76" s="42"/>
    </row>
    <row r="77" spans="1:10" ht="12.95">
      <c r="A77" s="37"/>
      <c r="B77" s="38"/>
      <c r="C77" s="179" t="s">
        <v>414</v>
      </c>
      <c r="D77" s="218">
        <v>0</v>
      </c>
      <c r="E77" s="42"/>
      <c r="F77" s="35"/>
      <c r="G77" s="37"/>
      <c r="H77" s="37"/>
      <c r="I77" s="198"/>
      <c r="J77" s="42"/>
    </row>
    <row r="78" spans="1:10">
      <c r="A78" s="37"/>
      <c r="B78" s="35"/>
      <c r="C78" s="179" t="s">
        <v>415</v>
      </c>
      <c r="D78" s="217">
        <v>0</v>
      </c>
      <c r="E78" s="42"/>
      <c r="F78" s="35"/>
      <c r="G78" s="37"/>
      <c r="H78" s="37"/>
      <c r="I78" s="198"/>
      <c r="J78" s="42"/>
    </row>
    <row r="79" spans="1:10">
      <c r="A79" s="37"/>
      <c r="B79" s="35"/>
      <c r="C79" s="179" t="s">
        <v>416</v>
      </c>
      <c r="D79" s="217">
        <v>0</v>
      </c>
      <c r="E79" s="42"/>
      <c r="F79" s="35"/>
      <c r="G79" s="37"/>
      <c r="H79" s="37"/>
      <c r="I79" s="198"/>
      <c r="J79" s="42"/>
    </row>
    <row r="80" spans="1:10" ht="12.95">
      <c r="A80" s="37"/>
      <c r="B80" s="38" t="s">
        <v>511</v>
      </c>
      <c r="C80" s="179" t="s">
        <v>417</v>
      </c>
      <c r="D80" s="217">
        <v>60330794766.18</v>
      </c>
      <c r="E80" s="51"/>
      <c r="F80" s="35"/>
      <c r="G80" s="37"/>
      <c r="H80" s="37"/>
      <c r="I80" s="198"/>
      <c r="J80" s="42"/>
    </row>
    <row r="81" spans="1:10" ht="12.95">
      <c r="A81" s="37"/>
      <c r="B81" s="35"/>
      <c r="C81" s="179" t="s">
        <v>418</v>
      </c>
      <c r="D81" s="217">
        <v>0</v>
      </c>
      <c r="E81" s="42"/>
      <c r="F81" s="38"/>
      <c r="G81" s="52"/>
      <c r="H81" s="37"/>
      <c r="I81" s="198"/>
      <c r="J81" s="42"/>
    </row>
    <row r="82" spans="1:10">
      <c r="A82" s="37"/>
      <c r="B82" s="35"/>
      <c r="C82" s="179" t="s">
        <v>56</v>
      </c>
      <c r="D82" s="217">
        <v>0</v>
      </c>
      <c r="E82" s="42"/>
      <c r="G82" s="37"/>
      <c r="H82" s="37"/>
      <c r="I82" s="190"/>
      <c r="J82" s="42"/>
    </row>
    <row r="83" spans="1:10" ht="12.95">
      <c r="A83" s="37"/>
      <c r="B83" s="35"/>
      <c r="C83" s="132"/>
      <c r="D83" s="215"/>
      <c r="E83" s="42"/>
      <c r="F83" s="35"/>
      <c r="G83" s="37"/>
      <c r="H83" s="214" t="s">
        <v>493</v>
      </c>
      <c r="I83" s="195">
        <f>SUM(I59:I81)</f>
        <v>75372890000</v>
      </c>
      <c r="J83" s="42"/>
    </row>
    <row r="84" spans="1:10" ht="12.95">
      <c r="A84" s="37"/>
      <c r="B84" s="35"/>
      <c r="C84" s="122" t="s">
        <v>511</v>
      </c>
      <c r="D84" s="215">
        <v>60330794766.18</v>
      </c>
      <c r="E84" s="42"/>
      <c r="F84" s="35"/>
      <c r="G84" s="37"/>
      <c r="H84" s="210"/>
      <c r="I84" s="193"/>
      <c r="J84" s="42"/>
    </row>
    <row r="85" spans="1:10">
      <c r="A85" s="37"/>
      <c r="B85" s="35"/>
      <c r="C85" s="132"/>
      <c r="D85" s="215"/>
      <c r="E85" s="42"/>
      <c r="F85" s="35"/>
      <c r="G85" s="37"/>
      <c r="H85" s="210" t="s">
        <v>495</v>
      </c>
      <c r="I85" s="190"/>
      <c r="J85" s="42"/>
    </row>
    <row r="86" spans="1:10" ht="12.95">
      <c r="A86" s="37"/>
      <c r="B86" s="35"/>
      <c r="C86" s="122" t="s">
        <v>512</v>
      </c>
      <c r="D86" s="215"/>
      <c r="E86" s="42"/>
      <c r="F86" s="35"/>
      <c r="G86" s="37"/>
      <c r="H86" s="37"/>
      <c r="I86" s="193"/>
      <c r="J86" s="42"/>
    </row>
    <row r="87" spans="1:10" ht="13.5" thickBot="1">
      <c r="A87" s="37"/>
      <c r="B87" s="35"/>
      <c r="C87" s="132"/>
      <c r="D87" s="215"/>
      <c r="E87" s="42"/>
      <c r="F87" s="35"/>
      <c r="G87" s="37"/>
      <c r="H87" s="52" t="s">
        <v>513</v>
      </c>
      <c r="I87" s="196">
        <f>I85+I83</f>
        <v>75372890000</v>
      </c>
      <c r="J87" s="42"/>
    </row>
    <row r="88" spans="1:10" ht="12.95" thickTop="1">
      <c r="A88" s="37"/>
      <c r="B88" s="35"/>
      <c r="C88" s="179" t="s">
        <v>421</v>
      </c>
      <c r="D88" s="219">
        <v>0</v>
      </c>
      <c r="E88" s="42"/>
      <c r="F88" s="35"/>
      <c r="G88" s="37"/>
      <c r="H88" s="37"/>
      <c r="I88" s="198"/>
      <c r="J88" s="42"/>
    </row>
    <row r="89" spans="1:10">
      <c r="A89" s="37"/>
      <c r="B89" s="35"/>
      <c r="C89" s="179" t="s">
        <v>422</v>
      </c>
      <c r="D89" s="219">
        <v>0</v>
      </c>
      <c r="E89" s="42"/>
      <c r="F89" s="35"/>
      <c r="G89" s="37"/>
      <c r="H89" s="37"/>
      <c r="I89" s="190"/>
      <c r="J89" s="42"/>
    </row>
    <row r="90" spans="1:10">
      <c r="A90" s="37"/>
      <c r="B90" s="35"/>
      <c r="C90" s="179" t="s">
        <v>423</v>
      </c>
      <c r="D90" s="220">
        <v>0</v>
      </c>
      <c r="E90" s="42"/>
      <c r="F90" s="35"/>
      <c r="G90" s="37"/>
      <c r="H90" s="37"/>
      <c r="I90" s="190"/>
      <c r="J90" s="42"/>
    </row>
    <row r="91" spans="1:10" ht="12.95">
      <c r="A91" s="37"/>
      <c r="B91" s="38" t="s">
        <v>514</v>
      </c>
      <c r="C91" s="179" t="s">
        <v>424</v>
      </c>
      <c r="D91" s="219">
        <v>0</v>
      </c>
      <c r="E91" s="51"/>
      <c r="F91" s="35"/>
      <c r="G91" s="37"/>
      <c r="H91" s="37"/>
      <c r="I91" s="190"/>
      <c r="J91" s="42"/>
    </row>
    <row r="92" spans="1:10" ht="12.95">
      <c r="A92" s="37"/>
      <c r="B92" s="35"/>
      <c r="C92" s="179" t="s">
        <v>425</v>
      </c>
      <c r="D92" s="219">
        <v>0</v>
      </c>
      <c r="E92" s="42"/>
      <c r="F92" s="38"/>
      <c r="G92" s="52"/>
      <c r="H92" s="37"/>
      <c r="I92" s="190"/>
      <c r="J92" s="42"/>
    </row>
    <row r="93" spans="1:10" ht="12.95">
      <c r="A93" s="37"/>
      <c r="B93" s="35"/>
      <c r="C93" s="179" t="s">
        <v>426</v>
      </c>
      <c r="D93" s="219">
        <v>0</v>
      </c>
      <c r="E93" s="51"/>
      <c r="F93" s="35"/>
      <c r="G93" s="37"/>
      <c r="H93" s="37"/>
      <c r="I93" s="190"/>
      <c r="J93" s="42"/>
    </row>
    <row r="94" spans="1:10" ht="12.95">
      <c r="A94" s="37"/>
      <c r="B94" s="35"/>
      <c r="C94" s="179" t="s">
        <v>56</v>
      </c>
      <c r="D94" s="215">
        <v>17066369000</v>
      </c>
      <c r="E94" s="51"/>
      <c r="F94" s="35"/>
      <c r="G94" s="37"/>
      <c r="H94" s="37"/>
      <c r="I94" s="190"/>
      <c r="J94" s="42"/>
    </row>
    <row r="95" spans="1:10" ht="12.95">
      <c r="A95" s="37"/>
      <c r="B95" s="38" t="s">
        <v>515</v>
      </c>
      <c r="C95" s="132"/>
      <c r="D95" s="221"/>
      <c r="E95" s="51"/>
      <c r="F95" s="35"/>
      <c r="G95" s="37"/>
      <c r="H95" s="37"/>
      <c r="I95" s="190"/>
      <c r="J95" s="42"/>
    </row>
    <row r="96" spans="1:10" ht="12.95">
      <c r="A96" s="37"/>
      <c r="B96" s="35"/>
      <c r="C96" s="122" t="s">
        <v>514</v>
      </c>
      <c r="D96" s="215">
        <v>17066369000</v>
      </c>
      <c r="E96" s="42"/>
      <c r="F96" s="35"/>
      <c r="G96" s="37"/>
      <c r="H96" s="37"/>
      <c r="I96" s="190"/>
      <c r="J96" s="42"/>
    </row>
    <row r="97" spans="1:10" ht="12.95">
      <c r="A97" s="52"/>
      <c r="B97" s="38" t="s">
        <v>516</v>
      </c>
      <c r="C97" s="132"/>
      <c r="D97" s="204"/>
      <c r="E97" s="42"/>
      <c r="F97" s="35"/>
      <c r="G97" s="37"/>
      <c r="H97" s="37"/>
      <c r="I97" s="190"/>
      <c r="J97" s="42"/>
    </row>
    <row r="98" spans="1:10" ht="12.95">
      <c r="A98" s="52"/>
      <c r="B98" s="38"/>
      <c r="C98" s="122" t="s">
        <v>517</v>
      </c>
      <c r="D98" s="204"/>
      <c r="E98" s="42"/>
      <c r="F98" s="35"/>
      <c r="G98" s="37"/>
      <c r="H98" s="37"/>
      <c r="I98" s="190"/>
      <c r="J98" s="42"/>
    </row>
    <row r="99" spans="1:10" ht="12.95">
      <c r="A99" s="52"/>
      <c r="B99" s="38"/>
      <c r="C99" s="132"/>
      <c r="D99" s="204"/>
      <c r="E99" s="42"/>
      <c r="F99" s="35"/>
      <c r="G99" s="37"/>
      <c r="H99" s="37"/>
      <c r="I99" s="190"/>
      <c r="J99" s="42"/>
    </row>
    <row r="100" spans="1:10" ht="12.95">
      <c r="A100" s="52"/>
      <c r="B100" s="38"/>
      <c r="C100" s="122" t="s">
        <v>515</v>
      </c>
      <c r="D100" s="204">
        <v>77397163766.179993</v>
      </c>
      <c r="E100" s="42"/>
      <c r="F100" s="35"/>
      <c r="G100" s="37"/>
      <c r="H100" s="37"/>
      <c r="I100" s="190"/>
      <c r="J100" s="42"/>
    </row>
    <row r="101" spans="1:10" ht="12.95">
      <c r="A101" s="52"/>
      <c r="B101" s="38"/>
      <c r="C101" s="122"/>
      <c r="D101" s="204"/>
      <c r="E101" s="42"/>
      <c r="F101" s="35"/>
      <c r="G101" s="37"/>
      <c r="H101" s="37"/>
      <c r="I101" s="190"/>
      <c r="J101" s="42"/>
    </row>
    <row r="102" spans="1:10" ht="12.95">
      <c r="A102" s="52"/>
      <c r="B102" s="38"/>
      <c r="C102" s="122" t="s">
        <v>516</v>
      </c>
      <c r="D102" s="204"/>
      <c r="E102" s="42"/>
      <c r="F102" s="35"/>
      <c r="G102" s="37"/>
      <c r="H102" s="37"/>
      <c r="I102" s="190"/>
      <c r="J102" s="42"/>
    </row>
    <row r="103" spans="1:10" ht="12.95">
      <c r="A103" s="52"/>
      <c r="B103" s="38"/>
      <c r="C103" s="132"/>
      <c r="D103" s="204"/>
      <c r="E103" s="42"/>
      <c r="F103" s="35"/>
      <c r="G103" s="37"/>
      <c r="H103" s="37"/>
      <c r="I103" s="190"/>
      <c r="J103" s="42"/>
    </row>
    <row r="104" spans="1:10">
      <c r="A104" s="37"/>
      <c r="B104" s="35"/>
      <c r="C104" s="132"/>
      <c r="D104" s="204"/>
      <c r="E104" s="42"/>
      <c r="F104" s="35"/>
      <c r="G104" s="37"/>
      <c r="H104" s="37"/>
      <c r="I104" s="190"/>
      <c r="J104" s="42"/>
    </row>
    <row r="105" spans="1:10" ht="12.95">
      <c r="A105" s="37"/>
      <c r="B105" s="35"/>
      <c r="C105" s="122" t="s">
        <v>518</v>
      </c>
      <c r="D105" s="204">
        <v>62075307000</v>
      </c>
      <c r="E105" s="51"/>
      <c r="F105" s="35"/>
      <c r="G105" s="37"/>
      <c r="H105" s="37"/>
      <c r="I105" s="190"/>
      <c r="J105" s="42"/>
    </row>
    <row r="106" spans="1:10" ht="12.95">
      <c r="A106" s="37"/>
      <c r="B106" s="35"/>
      <c r="C106" s="122"/>
      <c r="D106" s="203"/>
      <c r="E106" s="51"/>
      <c r="F106" s="35"/>
      <c r="G106" s="37"/>
      <c r="H106" s="37"/>
      <c r="I106" s="190"/>
      <c r="J106" s="42"/>
    </row>
    <row r="107" spans="1:10" ht="12.95">
      <c r="A107" s="37"/>
      <c r="B107" s="35"/>
      <c r="C107" s="122" t="s">
        <v>519</v>
      </c>
      <c r="D107" s="203"/>
      <c r="E107" s="51"/>
      <c r="F107" s="35"/>
      <c r="G107" s="37"/>
      <c r="H107" s="37"/>
      <c r="I107" s="190"/>
      <c r="J107" s="42"/>
    </row>
    <row r="108" spans="1:10">
      <c r="A108" s="37"/>
      <c r="B108" s="35"/>
      <c r="C108" s="132"/>
      <c r="D108" s="204"/>
      <c r="E108" s="42"/>
      <c r="F108" s="35"/>
      <c r="G108" s="37"/>
      <c r="H108" s="37"/>
      <c r="I108" s="190"/>
      <c r="J108" s="42"/>
    </row>
    <row r="109" spans="1:10" ht="12.95">
      <c r="A109" s="37"/>
      <c r="B109" s="38" t="s">
        <v>520</v>
      </c>
      <c r="C109" s="122" t="s">
        <v>521</v>
      </c>
      <c r="D109" s="204">
        <v>62075307000</v>
      </c>
      <c r="E109" s="51"/>
      <c r="F109" s="35"/>
      <c r="G109" s="37"/>
      <c r="H109" s="37"/>
      <c r="I109" s="190"/>
      <c r="J109" s="42"/>
    </row>
    <row r="110" spans="1:10">
      <c r="A110" s="37"/>
      <c r="B110" s="35"/>
      <c r="C110" s="132"/>
      <c r="D110" s="204" t="s">
        <v>18</v>
      </c>
      <c r="E110" s="42"/>
      <c r="F110" s="35"/>
      <c r="G110" s="37"/>
      <c r="H110" s="37"/>
      <c r="I110" s="190"/>
      <c r="J110" s="42"/>
    </row>
    <row r="111" spans="1:10" ht="13.5" thickBot="1">
      <c r="A111" s="37"/>
      <c r="B111" s="38" t="s">
        <v>522</v>
      </c>
      <c r="C111" s="122" t="s">
        <v>523</v>
      </c>
      <c r="D111" s="205">
        <v>139472470766.17999</v>
      </c>
      <c r="E111" s="51"/>
      <c r="F111" s="35"/>
      <c r="G111" s="37"/>
      <c r="H111" s="37"/>
      <c r="I111" s="190"/>
      <c r="J111" s="42"/>
    </row>
    <row r="112" spans="1:10" ht="12.95" thickTop="1">
      <c r="A112" s="54"/>
      <c r="B112" s="56"/>
      <c r="C112" s="134"/>
      <c r="D112" s="222"/>
      <c r="E112" s="59"/>
      <c r="F112" s="35"/>
      <c r="G112" s="54"/>
      <c r="H112" s="54"/>
      <c r="I112" s="194"/>
      <c r="J112" s="59"/>
    </row>
    <row r="113" spans="1:10" ht="12.95">
      <c r="A113" s="35"/>
      <c r="B113" s="38"/>
      <c r="C113" s="35"/>
      <c r="D113" s="189"/>
      <c r="E113" s="38"/>
      <c r="F113" s="35"/>
      <c r="G113" s="35"/>
      <c r="H113" s="35"/>
      <c r="I113" s="190"/>
    </row>
    <row r="114" spans="1:10" s="53" customFormat="1" ht="12.95">
      <c r="A114" s="758" t="s">
        <v>524</v>
      </c>
      <c r="B114" s="759"/>
      <c r="C114" s="759"/>
      <c r="D114" s="759"/>
      <c r="E114" s="759"/>
      <c r="F114" s="759"/>
      <c r="G114" s="759"/>
      <c r="H114" s="759"/>
      <c r="I114" s="759"/>
      <c r="J114" s="760"/>
    </row>
    <row r="115" spans="1:10" s="53" customFormat="1" ht="12.95">
      <c r="A115" s="758" t="s">
        <v>455</v>
      </c>
      <c r="B115" s="759"/>
      <c r="C115" s="759"/>
      <c r="D115" s="759"/>
      <c r="E115" s="760"/>
      <c r="F115" s="27"/>
      <c r="G115" s="758" t="s">
        <v>456</v>
      </c>
      <c r="H115" s="759"/>
      <c r="I115" s="759"/>
      <c r="J115" s="760"/>
    </row>
    <row r="116" spans="1:10" s="53" customFormat="1" ht="12.95">
      <c r="A116" s="66"/>
      <c r="B116" s="67"/>
      <c r="C116" s="68"/>
      <c r="D116" s="225"/>
      <c r="E116" s="69"/>
      <c r="F116" s="47"/>
      <c r="G116" s="66"/>
      <c r="H116" s="227"/>
      <c r="I116" s="225"/>
      <c r="J116" s="69"/>
    </row>
    <row r="117" spans="1:10" s="70" customFormat="1" ht="12.95">
      <c r="A117" s="52"/>
      <c r="B117" s="38" t="s">
        <v>525</v>
      </c>
      <c r="C117" s="38"/>
      <c r="D117" s="203">
        <f>D25+D42</f>
        <v>0</v>
      </c>
      <c r="E117" s="51"/>
      <c r="G117" s="52"/>
      <c r="H117" s="52" t="s">
        <v>526</v>
      </c>
      <c r="I117" s="221">
        <v>946299755000</v>
      </c>
      <c r="J117" s="51"/>
    </row>
    <row r="118" spans="1:10" s="70" customFormat="1" ht="12.95">
      <c r="A118" s="52"/>
      <c r="B118" s="38" t="s">
        <v>499</v>
      </c>
      <c r="C118" s="38" t="s">
        <v>525</v>
      </c>
      <c r="D118" s="203">
        <v>889524330456.79333</v>
      </c>
      <c r="E118" s="51"/>
      <c r="G118" s="52"/>
      <c r="H118" s="52" t="s">
        <v>527</v>
      </c>
      <c r="I118" s="221">
        <v>75372890000</v>
      </c>
      <c r="J118" s="51"/>
    </row>
    <row r="119" spans="1:10" s="70" customFormat="1" ht="12.95">
      <c r="A119" s="52"/>
      <c r="B119" s="38" t="s">
        <v>528</v>
      </c>
      <c r="C119" s="38" t="s">
        <v>499</v>
      </c>
      <c r="D119" s="203">
        <v>15994531256.809999</v>
      </c>
      <c r="E119" s="51"/>
      <c r="G119" s="52"/>
      <c r="H119" s="52"/>
      <c r="I119" s="221"/>
      <c r="J119" s="51"/>
    </row>
    <row r="120" spans="1:10" s="70" customFormat="1" ht="12.95">
      <c r="A120" s="52"/>
      <c r="B120" s="38"/>
      <c r="C120" s="38" t="s">
        <v>529</v>
      </c>
      <c r="D120" s="203">
        <v>1283400000</v>
      </c>
      <c r="E120" s="51"/>
      <c r="G120" s="52"/>
      <c r="H120" s="52"/>
      <c r="I120" s="221"/>
      <c r="J120" s="51"/>
    </row>
    <row r="121" spans="1:10" s="70" customFormat="1" ht="12.95">
      <c r="A121" s="52"/>
      <c r="B121" s="38" t="s">
        <v>530</v>
      </c>
      <c r="C121" s="38" t="s">
        <v>531</v>
      </c>
      <c r="D121" s="203">
        <v>139472470766.17999</v>
      </c>
      <c r="E121" s="51"/>
      <c r="G121" s="52"/>
      <c r="H121" s="52"/>
      <c r="I121" s="221"/>
      <c r="J121" s="51"/>
    </row>
    <row r="122" spans="1:10" s="70" customFormat="1" ht="12.95">
      <c r="A122" s="52"/>
      <c r="B122" s="38"/>
      <c r="C122" s="38" t="s">
        <v>532</v>
      </c>
      <c r="D122" s="203">
        <v>6591107000</v>
      </c>
      <c r="E122" s="51"/>
      <c r="G122" s="52"/>
      <c r="H122" s="52"/>
      <c r="I122" s="221"/>
      <c r="J122" s="51"/>
    </row>
    <row r="123" spans="1:10" s="70" customFormat="1" ht="13.5" thickBot="1">
      <c r="A123" s="52"/>
      <c r="B123" s="38"/>
      <c r="D123" s="205">
        <f>D112</f>
        <v>0</v>
      </c>
      <c r="E123" s="51"/>
      <c r="G123" s="52"/>
      <c r="H123" s="52"/>
      <c r="I123" s="221"/>
      <c r="J123" s="51"/>
    </row>
    <row r="124" spans="1:10" s="70" customFormat="1" ht="13.5" thickTop="1">
      <c r="A124" s="58"/>
      <c r="B124" s="55" t="s">
        <v>533</v>
      </c>
      <c r="C124" s="55" t="s">
        <v>534</v>
      </c>
      <c r="D124" s="226">
        <f>SUM(D117:D123)</f>
        <v>1052865839479.7834</v>
      </c>
      <c r="E124" s="51"/>
      <c r="F124" s="38"/>
      <c r="G124" s="52"/>
      <c r="H124" s="58" t="s">
        <v>535</v>
      </c>
      <c r="I124" s="228">
        <v>1021672645000</v>
      </c>
      <c r="J124" s="51"/>
    </row>
    <row r="125" spans="1:10" ht="12.95">
      <c r="A125" s="54"/>
      <c r="B125" s="56"/>
      <c r="C125" s="56"/>
      <c r="D125" s="194"/>
      <c r="E125" s="59"/>
      <c r="G125" s="54"/>
      <c r="H125" s="55"/>
      <c r="I125" s="192"/>
      <c r="J125" s="59"/>
    </row>
  </sheetData>
  <mergeCells count="13">
    <mergeCell ref="A53:J53"/>
    <mergeCell ref="A54:E54"/>
    <mergeCell ref="G54:J54"/>
    <mergeCell ref="A114:J114"/>
    <mergeCell ref="A115:E115"/>
    <mergeCell ref="G115:J115"/>
    <mergeCell ref="A6:E6"/>
    <mergeCell ref="G6:J6"/>
    <mergeCell ref="B1:I1"/>
    <mergeCell ref="B2:I2"/>
    <mergeCell ref="B3:I3"/>
    <mergeCell ref="B4:I4"/>
    <mergeCell ref="B5:I5"/>
  </mergeCells>
  <printOptions horizontalCentered="1"/>
  <pageMargins left="0.26" right="0.17" top="0.45" bottom="0.49" header="0.27" footer="0.17"/>
  <pageSetup scale="74" orientation="portrait" r:id="rId1"/>
  <rowBreaks count="2" manualBreakCount="2">
    <brk id="52" max="16383" man="1"/>
    <brk id="11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9"/>
  <sheetViews>
    <sheetView topLeftCell="A42" workbookViewId="0">
      <selection activeCell="H48" sqref="H48"/>
    </sheetView>
  </sheetViews>
  <sheetFormatPr defaultColWidth="8" defaultRowHeight="12"/>
  <cols>
    <col min="1" max="1" width="1.5703125" style="71" customWidth="1"/>
    <col min="2" max="2" width="48.7109375" style="71" customWidth="1"/>
    <col min="3" max="3" width="20.28515625" style="131" customWidth="1"/>
    <col min="4" max="4" width="1.140625" style="71" customWidth="1"/>
    <col min="5" max="5" width="1.28515625" style="71" customWidth="1"/>
    <col min="6" max="6" width="0.5703125" style="71" customWidth="1"/>
    <col min="7" max="7" width="46.140625" style="71" customWidth="1"/>
    <col min="8" max="8" width="20" style="71" customWidth="1"/>
    <col min="9" max="9" width="8" style="71"/>
    <col min="10" max="10" width="20.140625" style="71" customWidth="1"/>
    <col min="11" max="255" width="8" style="71"/>
    <col min="256" max="256" width="1.5703125" style="71" customWidth="1"/>
    <col min="257" max="257" width="41.42578125" style="71" customWidth="1"/>
    <col min="258" max="258" width="15.28515625" style="71" customWidth="1"/>
    <col min="259" max="259" width="1.140625" style="71" customWidth="1"/>
    <col min="260" max="260" width="1.28515625" style="71" customWidth="1"/>
    <col min="261" max="261" width="0.5703125" style="71" customWidth="1"/>
    <col min="262" max="262" width="39.85546875" style="71" customWidth="1"/>
    <col min="263" max="263" width="15.42578125" style="71" bestFit="1" customWidth="1"/>
    <col min="264" max="264" width="1.140625" style="71" customWidth="1"/>
    <col min="265" max="265" width="8" style="71"/>
    <col min="266" max="266" width="20.140625" style="71" customWidth="1"/>
    <col min="267" max="511" width="8" style="71"/>
    <col min="512" max="512" width="1.5703125" style="71" customWidth="1"/>
    <col min="513" max="513" width="41.42578125" style="71" customWidth="1"/>
    <col min="514" max="514" width="15.28515625" style="71" customWidth="1"/>
    <col min="515" max="515" width="1.140625" style="71" customWidth="1"/>
    <col min="516" max="516" width="1.28515625" style="71" customWidth="1"/>
    <col min="517" max="517" width="0.5703125" style="71" customWidth="1"/>
    <col min="518" max="518" width="39.85546875" style="71" customWidth="1"/>
    <col min="519" max="519" width="15.42578125" style="71" bestFit="1" customWidth="1"/>
    <col min="520" max="520" width="1.140625" style="71" customWidth="1"/>
    <col min="521" max="521" width="8" style="71"/>
    <col min="522" max="522" width="20.140625" style="71" customWidth="1"/>
    <col min="523" max="767" width="8" style="71"/>
    <col min="768" max="768" width="1.5703125" style="71" customWidth="1"/>
    <col min="769" max="769" width="41.42578125" style="71" customWidth="1"/>
    <col min="770" max="770" width="15.28515625" style="71" customWidth="1"/>
    <col min="771" max="771" width="1.140625" style="71" customWidth="1"/>
    <col min="772" max="772" width="1.28515625" style="71" customWidth="1"/>
    <col min="773" max="773" width="0.5703125" style="71" customWidth="1"/>
    <col min="774" max="774" width="39.85546875" style="71" customWidth="1"/>
    <col min="775" max="775" width="15.42578125" style="71" bestFit="1" customWidth="1"/>
    <col min="776" max="776" width="1.140625" style="71" customWidth="1"/>
    <col min="777" max="777" width="8" style="71"/>
    <col min="778" max="778" width="20.140625" style="71" customWidth="1"/>
    <col min="779" max="1023" width="8" style="71"/>
    <col min="1024" max="1024" width="1.5703125" style="71" customWidth="1"/>
    <col min="1025" max="1025" width="41.42578125" style="71" customWidth="1"/>
    <col min="1026" max="1026" width="15.28515625" style="71" customWidth="1"/>
    <col min="1027" max="1027" width="1.140625" style="71" customWidth="1"/>
    <col min="1028" max="1028" width="1.28515625" style="71" customWidth="1"/>
    <col min="1029" max="1029" width="0.5703125" style="71" customWidth="1"/>
    <col min="1030" max="1030" width="39.85546875" style="71" customWidth="1"/>
    <col min="1031" max="1031" width="15.42578125" style="71" bestFit="1" customWidth="1"/>
    <col min="1032" max="1032" width="1.140625" style="71" customWidth="1"/>
    <col min="1033" max="1033" width="8" style="71"/>
    <col min="1034" max="1034" width="20.140625" style="71" customWidth="1"/>
    <col min="1035" max="1279" width="8" style="71"/>
    <col min="1280" max="1280" width="1.5703125" style="71" customWidth="1"/>
    <col min="1281" max="1281" width="41.42578125" style="71" customWidth="1"/>
    <col min="1282" max="1282" width="15.28515625" style="71" customWidth="1"/>
    <col min="1283" max="1283" width="1.140625" style="71" customWidth="1"/>
    <col min="1284" max="1284" width="1.28515625" style="71" customWidth="1"/>
    <col min="1285" max="1285" width="0.5703125" style="71" customWidth="1"/>
    <col min="1286" max="1286" width="39.85546875" style="71" customWidth="1"/>
    <col min="1287" max="1287" width="15.42578125" style="71" bestFit="1" customWidth="1"/>
    <col min="1288" max="1288" width="1.140625" style="71" customWidth="1"/>
    <col min="1289" max="1289" width="8" style="71"/>
    <col min="1290" max="1290" width="20.140625" style="71" customWidth="1"/>
    <col min="1291" max="1535" width="8" style="71"/>
    <col min="1536" max="1536" width="1.5703125" style="71" customWidth="1"/>
    <col min="1537" max="1537" width="41.42578125" style="71" customWidth="1"/>
    <col min="1538" max="1538" width="15.28515625" style="71" customWidth="1"/>
    <col min="1539" max="1539" width="1.140625" style="71" customWidth="1"/>
    <col min="1540" max="1540" width="1.28515625" style="71" customWidth="1"/>
    <col min="1541" max="1541" width="0.5703125" style="71" customWidth="1"/>
    <col min="1542" max="1542" width="39.85546875" style="71" customWidth="1"/>
    <col min="1543" max="1543" width="15.42578125" style="71" bestFit="1" customWidth="1"/>
    <col min="1544" max="1544" width="1.140625" style="71" customWidth="1"/>
    <col min="1545" max="1545" width="8" style="71"/>
    <col min="1546" max="1546" width="20.140625" style="71" customWidth="1"/>
    <col min="1547" max="1791" width="8" style="71"/>
    <col min="1792" max="1792" width="1.5703125" style="71" customWidth="1"/>
    <col min="1793" max="1793" width="41.42578125" style="71" customWidth="1"/>
    <col min="1794" max="1794" width="15.28515625" style="71" customWidth="1"/>
    <col min="1795" max="1795" width="1.140625" style="71" customWidth="1"/>
    <col min="1796" max="1796" width="1.28515625" style="71" customWidth="1"/>
    <col min="1797" max="1797" width="0.5703125" style="71" customWidth="1"/>
    <col min="1798" max="1798" width="39.85546875" style="71" customWidth="1"/>
    <col min="1799" max="1799" width="15.42578125" style="71" bestFit="1" customWidth="1"/>
    <col min="1800" max="1800" width="1.140625" style="71" customWidth="1"/>
    <col min="1801" max="1801" width="8" style="71"/>
    <col min="1802" max="1802" width="20.140625" style="71" customWidth="1"/>
    <col min="1803" max="2047" width="8" style="71"/>
    <col min="2048" max="2048" width="1.5703125" style="71" customWidth="1"/>
    <col min="2049" max="2049" width="41.42578125" style="71" customWidth="1"/>
    <col min="2050" max="2050" width="15.28515625" style="71" customWidth="1"/>
    <col min="2051" max="2051" width="1.140625" style="71" customWidth="1"/>
    <col min="2052" max="2052" width="1.28515625" style="71" customWidth="1"/>
    <col min="2053" max="2053" width="0.5703125" style="71" customWidth="1"/>
    <col min="2054" max="2054" width="39.85546875" style="71" customWidth="1"/>
    <col min="2055" max="2055" width="15.42578125" style="71" bestFit="1" customWidth="1"/>
    <col min="2056" max="2056" width="1.140625" style="71" customWidth="1"/>
    <col min="2057" max="2057" width="8" style="71"/>
    <col min="2058" max="2058" width="20.140625" style="71" customWidth="1"/>
    <col min="2059" max="2303" width="8" style="71"/>
    <col min="2304" max="2304" width="1.5703125" style="71" customWidth="1"/>
    <col min="2305" max="2305" width="41.42578125" style="71" customWidth="1"/>
    <col min="2306" max="2306" width="15.28515625" style="71" customWidth="1"/>
    <col min="2307" max="2307" width="1.140625" style="71" customWidth="1"/>
    <col min="2308" max="2308" width="1.28515625" style="71" customWidth="1"/>
    <col min="2309" max="2309" width="0.5703125" style="71" customWidth="1"/>
    <col min="2310" max="2310" width="39.85546875" style="71" customWidth="1"/>
    <col min="2311" max="2311" width="15.42578125" style="71" bestFit="1" customWidth="1"/>
    <col min="2312" max="2312" width="1.140625" style="71" customWidth="1"/>
    <col min="2313" max="2313" width="8" style="71"/>
    <col min="2314" max="2314" width="20.140625" style="71" customWidth="1"/>
    <col min="2315" max="2559" width="8" style="71"/>
    <col min="2560" max="2560" width="1.5703125" style="71" customWidth="1"/>
    <col min="2561" max="2561" width="41.42578125" style="71" customWidth="1"/>
    <col min="2562" max="2562" width="15.28515625" style="71" customWidth="1"/>
    <col min="2563" max="2563" width="1.140625" style="71" customWidth="1"/>
    <col min="2564" max="2564" width="1.28515625" style="71" customWidth="1"/>
    <col min="2565" max="2565" width="0.5703125" style="71" customWidth="1"/>
    <col min="2566" max="2566" width="39.85546875" style="71" customWidth="1"/>
    <col min="2567" max="2567" width="15.42578125" style="71" bestFit="1" customWidth="1"/>
    <col min="2568" max="2568" width="1.140625" style="71" customWidth="1"/>
    <col min="2569" max="2569" width="8" style="71"/>
    <col min="2570" max="2570" width="20.140625" style="71" customWidth="1"/>
    <col min="2571" max="2815" width="8" style="71"/>
    <col min="2816" max="2816" width="1.5703125" style="71" customWidth="1"/>
    <col min="2817" max="2817" width="41.42578125" style="71" customWidth="1"/>
    <col min="2818" max="2818" width="15.28515625" style="71" customWidth="1"/>
    <col min="2819" max="2819" width="1.140625" style="71" customWidth="1"/>
    <col min="2820" max="2820" width="1.28515625" style="71" customWidth="1"/>
    <col min="2821" max="2821" width="0.5703125" style="71" customWidth="1"/>
    <col min="2822" max="2822" width="39.85546875" style="71" customWidth="1"/>
    <col min="2823" max="2823" width="15.42578125" style="71" bestFit="1" customWidth="1"/>
    <col min="2824" max="2824" width="1.140625" style="71" customWidth="1"/>
    <col min="2825" max="2825" width="8" style="71"/>
    <col min="2826" max="2826" width="20.140625" style="71" customWidth="1"/>
    <col min="2827" max="3071" width="8" style="71"/>
    <col min="3072" max="3072" width="1.5703125" style="71" customWidth="1"/>
    <col min="3073" max="3073" width="41.42578125" style="71" customWidth="1"/>
    <col min="3074" max="3074" width="15.28515625" style="71" customWidth="1"/>
    <col min="3075" max="3075" width="1.140625" style="71" customWidth="1"/>
    <col min="3076" max="3076" width="1.28515625" style="71" customWidth="1"/>
    <col min="3077" max="3077" width="0.5703125" style="71" customWidth="1"/>
    <col min="3078" max="3078" width="39.85546875" style="71" customWidth="1"/>
    <col min="3079" max="3079" width="15.42578125" style="71" bestFit="1" customWidth="1"/>
    <col min="3080" max="3080" width="1.140625" style="71" customWidth="1"/>
    <col min="3081" max="3081" width="8" style="71"/>
    <col min="3082" max="3082" width="20.140625" style="71" customWidth="1"/>
    <col min="3083" max="3327" width="8" style="71"/>
    <col min="3328" max="3328" width="1.5703125" style="71" customWidth="1"/>
    <col min="3329" max="3329" width="41.42578125" style="71" customWidth="1"/>
    <col min="3330" max="3330" width="15.28515625" style="71" customWidth="1"/>
    <col min="3331" max="3331" width="1.140625" style="71" customWidth="1"/>
    <col min="3332" max="3332" width="1.28515625" style="71" customWidth="1"/>
    <col min="3333" max="3333" width="0.5703125" style="71" customWidth="1"/>
    <col min="3334" max="3334" width="39.85546875" style="71" customWidth="1"/>
    <col min="3335" max="3335" width="15.42578125" style="71" bestFit="1" customWidth="1"/>
    <col min="3336" max="3336" width="1.140625" style="71" customWidth="1"/>
    <col min="3337" max="3337" width="8" style="71"/>
    <col min="3338" max="3338" width="20.140625" style="71" customWidth="1"/>
    <col min="3339" max="3583" width="8" style="71"/>
    <col min="3584" max="3584" width="1.5703125" style="71" customWidth="1"/>
    <col min="3585" max="3585" width="41.42578125" style="71" customWidth="1"/>
    <col min="3586" max="3586" width="15.28515625" style="71" customWidth="1"/>
    <col min="3587" max="3587" width="1.140625" style="71" customWidth="1"/>
    <col min="3588" max="3588" width="1.28515625" style="71" customWidth="1"/>
    <col min="3589" max="3589" width="0.5703125" style="71" customWidth="1"/>
    <col min="3590" max="3590" width="39.85546875" style="71" customWidth="1"/>
    <col min="3591" max="3591" width="15.42578125" style="71" bestFit="1" customWidth="1"/>
    <col min="3592" max="3592" width="1.140625" style="71" customWidth="1"/>
    <col min="3593" max="3593" width="8" style="71"/>
    <col min="3594" max="3594" width="20.140625" style="71" customWidth="1"/>
    <col min="3595" max="3839" width="8" style="71"/>
    <col min="3840" max="3840" width="1.5703125" style="71" customWidth="1"/>
    <col min="3841" max="3841" width="41.42578125" style="71" customWidth="1"/>
    <col min="3842" max="3842" width="15.28515625" style="71" customWidth="1"/>
    <col min="3843" max="3843" width="1.140625" style="71" customWidth="1"/>
    <col min="3844" max="3844" width="1.28515625" style="71" customWidth="1"/>
    <col min="3845" max="3845" width="0.5703125" style="71" customWidth="1"/>
    <col min="3846" max="3846" width="39.85546875" style="71" customWidth="1"/>
    <col min="3847" max="3847" width="15.42578125" style="71" bestFit="1" customWidth="1"/>
    <col min="3848" max="3848" width="1.140625" style="71" customWidth="1"/>
    <col min="3849" max="3849" width="8" style="71"/>
    <col min="3850" max="3850" width="20.140625" style="71" customWidth="1"/>
    <col min="3851" max="4095" width="8" style="71"/>
    <col min="4096" max="4096" width="1.5703125" style="71" customWidth="1"/>
    <col min="4097" max="4097" width="41.42578125" style="71" customWidth="1"/>
    <col min="4098" max="4098" width="15.28515625" style="71" customWidth="1"/>
    <col min="4099" max="4099" width="1.140625" style="71" customWidth="1"/>
    <col min="4100" max="4100" width="1.28515625" style="71" customWidth="1"/>
    <col min="4101" max="4101" width="0.5703125" style="71" customWidth="1"/>
    <col min="4102" max="4102" width="39.85546875" style="71" customWidth="1"/>
    <col min="4103" max="4103" width="15.42578125" style="71" bestFit="1" customWidth="1"/>
    <col min="4104" max="4104" width="1.140625" style="71" customWidth="1"/>
    <col min="4105" max="4105" width="8" style="71"/>
    <col min="4106" max="4106" width="20.140625" style="71" customWidth="1"/>
    <col min="4107" max="4351" width="8" style="71"/>
    <col min="4352" max="4352" width="1.5703125" style="71" customWidth="1"/>
    <col min="4353" max="4353" width="41.42578125" style="71" customWidth="1"/>
    <col min="4354" max="4354" width="15.28515625" style="71" customWidth="1"/>
    <col min="4355" max="4355" width="1.140625" style="71" customWidth="1"/>
    <col min="4356" max="4356" width="1.28515625" style="71" customWidth="1"/>
    <col min="4357" max="4357" width="0.5703125" style="71" customWidth="1"/>
    <col min="4358" max="4358" width="39.85546875" style="71" customWidth="1"/>
    <col min="4359" max="4359" width="15.42578125" style="71" bestFit="1" customWidth="1"/>
    <col min="4360" max="4360" width="1.140625" style="71" customWidth="1"/>
    <col min="4361" max="4361" width="8" style="71"/>
    <col min="4362" max="4362" width="20.140625" style="71" customWidth="1"/>
    <col min="4363" max="4607" width="8" style="71"/>
    <col min="4608" max="4608" width="1.5703125" style="71" customWidth="1"/>
    <col min="4609" max="4609" width="41.42578125" style="71" customWidth="1"/>
    <col min="4610" max="4610" width="15.28515625" style="71" customWidth="1"/>
    <col min="4611" max="4611" width="1.140625" style="71" customWidth="1"/>
    <col min="4612" max="4612" width="1.28515625" style="71" customWidth="1"/>
    <col min="4613" max="4613" width="0.5703125" style="71" customWidth="1"/>
    <col min="4614" max="4614" width="39.85546875" style="71" customWidth="1"/>
    <col min="4615" max="4615" width="15.42578125" style="71" bestFit="1" customWidth="1"/>
    <col min="4616" max="4616" width="1.140625" style="71" customWidth="1"/>
    <col min="4617" max="4617" width="8" style="71"/>
    <col min="4618" max="4618" width="20.140625" style="71" customWidth="1"/>
    <col min="4619" max="4863" width="8" style="71"/>
    <col min="4864" max="4864" width="1.5703125" style="71" customWidth="1"/>
    <col min="4865" max="4865" width="41.42578125" style="71" customWidth="1"/>
    <col min="4866" max="4866" width="15.28515625" style="71" customWidth="1"/>
    <col min="4867" max="4867" width="1.140625" style="71" customWidth="1"/>
    <col min="4868" max="4868" width="1.28515625" style="71" customWidth="1"/>
    <col min="4869" max="4869" width="0.5703125" style="71" customWidth="1"/>
    <col min="4870" max="4870" width="39.85546875" style="71" customWidth="1"/>
    <col min="4871" max="4871" width="15.42578125" style="71" bestFit="1" customWidth="1"/>
    <col min="4872" max="4872" width="1.140625" style="71" customWidth="1"/>
    <col min="4873" max="4873" width="8" style="71"/>
    <col min="4874" max="4874" width="20.140625" style="71" customWidth="1"/>
    <col min="4875" max="5119" width="8" style="71"/>
    <col min="5120" max="5120" width="1.5703125" style="71" customWidth="1"/>
    <col min="5121" max="5121" width="41.42578125" style="71" customWidth="1"/>
    <col min="5122" max="5122" width="15.28515625" style="71" customWidth="1"/>
    <col min="5123" max="5123" width="1.140625" style="71" customWidth="1"/>
    <col min="5124" max="5124" width="1.28515625" style="71" customWidth="1"/>
    <col min="5125" max="5125" width="0.5703125" style="71" customWidth="1"/>
    <col min="5126" max="5126" width="39.85546875" style="71" customWidth="1"/>
    <col min="5127" max="5127" width="15.42578125" style="71" bestFit="1" customWidth="1"/>
    <col min="5128" max="5128" width="1.140625" style="71" customWidth="1"/>
    <col min="5129" max="5129" width="8" style="71"/>
    <col min="5130" max="5130" width="20.140625" style="71" customWidth="1"/>
    <col min="5131" max="5375" width="8" style="71"/>
    <col min="5376" max="5376" width="1.5703125" style="71" customWidth="1"/>
    <col min="5377" max="5377" width="41.42578125" style="71" customWidth="1"/>
    <col min="5378" max="5378" width="15.28515625" style="71" customWidth="1"/>
    <col min="5379" max="5379" width="1.140625" style="71" customWidth="1"/>
    <col min="5380" max="5380" width="1.28515625" style="71" customWidth="1"/>
    <col min="5381" max="5381" width="0.5703125" style="71" customWidth="1"/>
    <col min="5382" max="5382" width="39.85546875" style="71" customWidth="1"/>
    <col min="5383" max="5383" width="15.42578125" style="71" bestFit="1" customWidth="1"/>
    <col min="5384" max="5384" width="1.140625" style="71" customWidth="1"/>
    <col min="5385" max="5385" width="8" style="71"/>
    <col min="5386" max="5386" width="20.140625" style="71" customWidth="1"/>
    <col min="5387" max="5631" width="8" style="71"/>
    <col min="5632" max="5632" width="1.5703125" style="71" customWidth="1"/>
    <col min="5633" max="5633" width="41.42578125" style="71" customWidth="1"/>
    <col min="5634" max="5634" width="15.28515625" style="71" customWidth="1"/>
    <col min="5635" max="5635" width="1.140625" style="71" customWidth="1"/>
    <col min="5636" max="5636" width="1.28515625" style="71" customWidth="1"/>
    <col min="5637" max="5637" width="0.5703125" style="71" customWidth="1"/>
    <col min="5638" max="5638" width="39.85546875" style="71" customWidth="1"/>
    <col min="5639" max="5639" width="15.42578125" style="71" bestFit="1" customWidth="1"/>
    <col min="5640" max="5640" width="1.140625" style="71" customWidth="1"/>
    <col min="5641" max="5641" width="8" style="71"/>
    <col min="5642" max="5642" width="20.140625" style="71" customWidth="1"/>
    <col min="5643" max="5887" width="8" style="71"/>
    <col min="5888" max="5888" width="1.5703125" style="71" customWidth="1"/>
    <col min="5889" max="5889" width="41.42578125" style="71" customWidth="1"/>
    <col min="5890" max="5890" width="15.28515625" style="71" customWidth="1"/>
    <col min="5891" max="5891" width="1.140625" style="71" customWidth="1"/>
    <col min="5892" max="5892" width="1.28515625" style="71" customWidth="1"/>
    <col min="5893" max="5893" width="0.5703125" style="71" customWidth="1"/>
    <col min="5894" max="5894" width="39.85546875" style="71" customWidth="1"/>
    <col min="5895" max="5895" width="15.42578125" style="71" bestFit="1" customWidth="1"/>
    <col min="5896" max="5896" width="1.140625" style="71" customWidth="1"/>
    <col min="5897" max="5897" width="8" style="71"/>
    <col min="5898" max="5898" width="20.140625" style="71" customWidth="1"/>
    <col min="5899" max="6143" width="8" style="71"/>
    <col min="6144" max="6144" width="1.5703125" style="71" customWidth="1"/>
    <col min="6145" max="6145" width="41.42578125" style="71" customWidth="1"/>
    <col min="6146" max="6146" width="15.28515625" style="71" customWidth="1"/>
    <col min="6147" max="6147" width="1.140625" style="71" customWidth="1"/>
    <col min="6148" max="6148" width="1.28515625" style="71" customWidth="1"/>
    <col min="6149" max="6149" width="0.5703125" style="71" customWidth="1"/>
    <col min="6150" max="6150" width="39.85546875" style="71" customWidth="1"/>
    <col min="6151" max="6151" width="15.42578125" style="71" bestFit="1" customWidth="1"/>
    <col min="6152" max="6152" width="1.140625" style="71" customWidth="1"/>
    <col min="6153" max="6153" width="8" style="71"/>
    <col min="6154" max="6154" width="20.140625" style="71" customWidth="1"/>
    <col min="6155" max="6399" width="8" style="71"/>
    <col min="6400" max="6400" width="1.5703125" style="71" customWidth="1"/>
    <col min="6401" max="6401" width="41.42578125" style="71" customWidth="1"/>
    <col min="6402" max="6402" width="15.28515625" style="71" customWidth="1"/>
    <col min="6403" max="6403" width="1.140625" style="71" customWidth="1"/>
    <col min="6404" max="6404" width="1.28515625" style="71" customWidth="1"/>
    <col min="6405" max="6405" width="0.5703125" style="71" customWidth="1"/>
    <col min="6406" max="6406" width="39.85546875" style="71" customWidth="1"/>
    <col min="6407" max="6407" width="15.42578125" style="71" bestFit="1" customWidth="1"/>
    <col min="6408" max="6408" width="1.140625" style="71" customWidth="1"/>
    <col min="6409" max="6409" width="8" style="71"/>
    <col min="6410" max="6410" width="20.140625" style="71" customWidth="1"/>
    <col min="6411" max="6655" width="8" style="71"/>
    <col min="6656" max="6656" width="1.5703125" style="71" customWidth="1"/>
    <col min="6657" max="6657" width="41.42578125" style="71" customWidth="1"/>
    <col min="6658" max="6658" width="15.28515625" style="71" customWidth="1"/>
    <col min="6659" max="6659" width="1.140625" style="71" customWidth="1"/>
    <col min="6660" max="6660" width="1.28515625" style="71" customWidth="1"/>
    <col min="6661" max="6661" width="0.5703125" style="71" customWidth="1"/>
    <col min="6662" max="6662" width="39.85546875" style="71" customWidth="1"/>
    <col min="6663" max="6663" width="15.42578125" style="71" bestFit="1" customWidth="1"/>
    <col min="6664" max="6664" width="1.140625" style="71" customWidth="1"/>
    <col min="6665" max="6665" width="8" style="71"/>
    <col min="6666" max="6666" width="20.140625" style="71" customWidth="1"/>
    <col min="6667" max="6911" width="8" style="71"/>
    <col min="6912" max="6912" width="1.5703125" style="71" customWidth="1"/>
    <col min="6913" max="6913" width="41.42578125" style="71" customWidth="1"/>
    <col min="6914" max="6914" width="15.28515625" style="71" customWidth="1"/>
    <col min="6915" max="6915" width="1.140625" style="71" customWidth="1"/>
    <col min="6916" max="6916" width="1.28515625" style="71" customWidth="1"/>
    <col min="6917" max="6917" width="0.5703125" style="71" customWidth="1"/>
    <col min="6918" max="6918" width="39.85546875" style="71" customWidth="1"/>
    <col min="6919" max="6919" width="15.42578125" style="71" bestFit="1" customWidth="1"/>
    <col min="6920" max="6920" width="1.140625" style="71" customWidth="1"/>
    <col min="6921" max="6921" width="8" style="71"/>
    <col min="6922" max="6922" width="20.140625" style="71" customWidth="1"/>
    <col min="6923" max="7167" width="8" style="71"/>
    <col min="7168" max="7168" width="1.5703125" style="71" customWidth="1"/>
    <col min="7169" max="7169" width="41.42578125" style="71" customWidth="1"/>
    <col min="7170" max="7170" width="15.28515625" style="71" customWidth="1"/>
    <col min="7171" max="7171" width="1.140625" style="71" customWidth="1"/>
    <col min="7172" max="7172" width="1.28515625" style="71" customWidth="1"/>
    <col min="7173" max="7173" width="0.5703125" style="71" customWidth="1"/>
    <col min="7174" max="7174" width="39.85546875" style="71" customWidth="1"/>
    <col min="7175" max="7175" width="15.42578125" style="71" bestFit="1" customWidth="1"/>
    <col min="7176" max="7176" width="1.140625" style="71" customWidth="1"/>
    <col min="7177" max="7177" width="8" style="71"/>
    <col min="7178" max="7178" width="20.140625" style="71" customWidth="1"/>
    <col min="7179" max="7423" width="8" style="71"/>
    <col min="7424" max="7424" width="1.5703125" style="71" customWidth="1"/>
    <col min="7425" max="7425" width="41.42578125" style="71" customWidth="1"/>
    <col min="7426" max="7426" width="15.28515625" style="71" customWidth="1"/>
    <col min="7427" max="7427" width="1.140625" style="71" customWidth="1"/>
    <col min="7428" max="7428" width="1.28515625" style="71" customWidth="1"/>
    <col min="7429" max="7429" width="0.5703125" style="71" customWidth="1"/>
    <col min="7430" max="7430" width="39.85546875" style="71" customWidth="1"/>
    <col min="7431" max="7431" width="15.42578125" style="71" bestFit="1" customWidth="1"/>
    <col min="7432" max="7432" width="1.140625" style="71" customWidth="1"/>
    <col min="7433" max="7433" width="8" style="71"/>
    <col min="7434" max="7434" width="20.140625" style="71" customWidth="1"/>
    <col min="7435" max="7679" width="8" style="71"/>
    <col min="7680" max="7680" width="1.5703125" style="71" customWidth="1"/>
    <col min="7681" max="7681" width="41.42578125" style="71" customWidth="1"/>
    <col min="7682" max="7682" width="15.28515625" style="71" customWidth="1"/>
    <col min="7683" max="7683" width="1.140625" style="71" customWidth="1"/>
    <col min="7684" max="7684" width="1.28515625" style="71" customWidth="1"/>
    <col min="7685" max="7685" width="0.5703125" style="71" customWidth="1"/>
    <col min="7686" max="7686" width="39.85546875" style="71" customWidth="1"/>
    <col min="7687" max="7687" width="15.42578125" style="71" bestFit="1" customWidth="1"/>
    <col min="7688" max="7688" width="1.140625" style="71" customWidth="1"/>
    <col min="7689" max="7689" width="8" style="71"/>
    <col min="7690" max="7690" width="20.140625" style="71" customWidth="1"/>
    <col min="7691" max="7935" width="8" style="71"/>
    <col min="7936" max="7936" width="1.5703125" style="71" customWidth="1"/>
    <col min="7937" max="7937" width="41.42578125" style="71" customWidth="1"/>
    <col min="7938" max="7938" width="15.28515625" style="71" customWidth="1"/>
    <col min="7939" max="7939" width="1.140625" style="71" customWidth="1"/>
    <col min="7940" max="7940" width="1.28515625" style="71" customWidth="1"/>
    <col min="7941" max="7941" width="0.5703125" style="71" customWidth="1"/>
    <col min="7942" max="7942" width="39.85546875" style="71" customWidth="1"/>
    <col min="7943" max="7943" width="15.42578125" style="71" bestFit="1" customWidth="1"/>
    <col min="7944" max="7944" width="1.140625" style="71" customWidth="1"/>
    <col min="7945" max="7945" width="8" style="71"/>
    <col min="7946" max="7946" width="20.140625" style="71" customWidth="1"/>
    <col min="7947" max="8191" width="8" style="71"/>
    <col min="8192" max="8192" width="1.5703125" style="71" customWidth="1"/>
    <col min="8193" max="8193" width="41.42578125" style="71" customWidth="1"/>
    <col min="8194" max="8194" width="15.28515625" style="71" customWidth="1"/>
    <col min="8195" max="8195" width="1.140625" style="71" customWidth="1"/>
    <col min="8196" max="8196" width="1.28515625" style="71" customWidth="1"/>
    <col min="8197" max="8197" width="0.5703125" style="71" customWidth="1"/>
    <col min="8198" max="8198" width="39.85546875" style="71" customWidth="1"/>
    <col min="8199" max="8199" width="15.42578125" style="71" bestFit="1" customWidth="1"/>
    <col min="8200" max="8200" width="1.140625" style="71" customWidth="1"/>
    <col min="8201" max="8201" width="8" style="71"/>
    <col min="8202" max="8202" width="20.140625" style="71" customWidth="1"/>
    <col min="8203" max="8447" width="8" style="71"/>
    <col min="8448" max="8448" width="1.5703125" style="71" customWidth="1"/>
    <col min="8449" max="8449" width="41.42578125" style="71" customWidth="1"/>
    <col min="8450" max="8450" width="15.28515625" style="71" customWidth="1"/>
    <col min="8451" max="8451" width="1.140625" style="71" customWidth="1"/>
    <col min="8452" max="8452" width="1.28515625" style="71" customWidth="1"/>
    <col min="8453" max="8453" width="0.5703125" style="71" customWidth="1"/>
    <col min="8454" max="8454" width="39.85546875" style="71" customWidth="1"/>
    <col min="8455" max="8455" width="15.42578125" style="71" bestFit="1" customWidth="1"/>
    <col min="8456" max="8456" width="1.140625" style="71" customWidth="1"/>
    <col min="8457" max="8457" width="8" style="71"/>
    <col min="8458" max="8458" width="20.140625" style="71" customWidth="1"/>
    <col min="8459" max="8703" width="8" style="71"/>
    <col min="8704" max="8704" width="1.5703125" style="71" customWidth="1"/>
    <col min="8705" max="8705" width="41.42578125" style="71" customWidth="1"/>
    <col min="8706" max="8706" width="15.28515625" style="71" customWidth="1"/>
    <col min="8707" max="8707" width="1.140625" style="71" customWidth="1"/>
    <col min="8708" max="8708" width="1.28515625" style="71" customWidth="1"/>
    <col min="8709" max="8709" width="0.5703125" style="71" customWidth="1"/>
    <col min="8710" max="8710" width="39.85546875" style="71" customWidth="1"/>
    <col min="8711" max="8711" width="15.42578125" style="71" bestFit="1" customWidth="1"/>
    <col min="8712" max="8712" width="1.140625" style="71" customWidth="1"/>
    <col min="8713" max="8713" width="8" style="71"/>
    <col min="8714" max="8714" width="20.140625" style="71" customWidth="1"/>
    <col min="8715" max="8959" width="8" style="71"/>
    <col min="8960" max="8960" width="1.5703125" style="71" customWidth="1"/>
    <col min="8961" max="8961" width="41.42578125" style="71" customWidth="1"/>
    <col min="8962" max="8962" width="15.28515625" style="71" customWidth="1"/>
    <col min="8963" max="8963" width="1.140625" style="71" customWidth="1"/>
    <col min="8964" max="8964" width="1.28515625" style="71" customWidth="1"/>
    <col min="8965" max="8965" width="0.5703125" style="71" customWidth="1"/>
    <col min="8966" max="8966" width="39.85546875" style="71" customWidth="1"/>
    <col min="8967" max="8967" width="15.42578125" style="71" bestFit="1" customWidth="1"/>
    <col min="8968" max="8968" width="1.140625" style="71" customWidth="1"/>
    <col min="8969" max="8969" width="8" style="71"/>
    <col min="8970" max="8970" width="20.140625" style="71" customWidth="1"/>
    <col min="8971" max="9215" width="8" style="71"/>
    <col min="9216" max="9216" width="1.5703125" style="71" customWidth="1"/>
    <col min="9217" max="9217" width="41.42578125" style="71" customWidth="1"/>
    <col min="9218" max="9218" width="15.28515625" style="71" customWidth="1"/>
    <col min="9219" max="9219" width="1.140625" style="71" customWidth="1"/>
    <col min="9220" max="9220" width="1.28515625" style="71" customWidth="1"/>
    <col min="9221" max="9221" width="0.5703125" style="71" customWidth="1"/>
    <col min="9222" max="9222" width="39.85546875" style="71" customWidth="1"/>
    <col min="9223" max="9223" width="15.42578125" style="71" bestFit="1" customWidth="1"/>
    <col min="9224" max="9224" width="1.140625" style="71" customWidth="1"/>
    <col min="9225" max="9225" width="8" style="71"/>
    <col min="9226" max="9226" width="20.140625" style="71" customWidth="1"/>
    <col min="9227" max="9471" width="8" style="71"/>
    <col min="9472" max="9472" width="1.5703125" style="71" customWidth="1"/>
    <col min="9473" max="9473" width="41.42578125" style="71" customWidth="1"/>
    <col min="9474" max="9474" width="15.28515625" style="71" customWidth="1"/>
    <col min="9475" max="9475" width="1.140625" style="71" customWidth="1"/>
    <col min="9476" max="9476" width="1.28515625" style="71" customWidth="1"/>
    <col min="9477" max="9477" width="0.5703125" style="71" customWidth="1"/>
    <col min="9478" max="9478" width="39.85546875" style="71" customWidth="1"/>
    <col min="9479" max="9479" width="15.42578125" style="71" bestFit="1" customWidth="1"/>
    <col min="9480" max="9480" width="1.140625" style="71" customWidth="1"/>
    <col min="9481" max="9481" width="8" style="71"/>
    <col min="9482" max="9482" width="20.140625" style="71" customWidth="1"/>
    <col min="9483" max="9727" width="8" style="71"/>
    <col min="9728" max="9728" width="1.5703125" style="71" customWidth="1"/>
    <col min="9729" max="9729" width="41.42578125" style="71" customWidth="1"/>
    <col min="9730" max="9730" width="15.28515625" style="71" customWidth="1"/>
    <col min="9731" max="9731" width="1.140625" style="71" customWidth="1"/>
    <col min="9732" max="9732" width="1.28515625" style="71" customWidth="1"/>
    <col min="9733" max="9733" width="0.5703125" style="71" customWidth="1"/>
    <col min="9734" max="9734" width="39.85546875" style="71" customWidth="1"/>
    <col min="9735" max="9735" width="15.42578125" style="71" bestFit="1" customWidth="1"/>
    <col min="9736" max="9736" width="1.140625" style="71" customWidth="1"/>
    <col min="9737" max="9737" width="8" style="71"/>
    <col min="9738" max="9738" width="20.140625" style="71" customWidth="1"/>
    <col min="9739" max="9983" width="8" style="71"/>
    <col min="9984" max="9984" width="1.5703125" style="71" customWidth="1"/>
    <col min="9985" max="9985" width="41.42578125" style="71" customWidth="1"/>
    <col min="9986" max="9986" width="15.28515625" style="71" customWidth="1"/>
    <col min="9987" max="9987" width="1.140625" style="71" customWidth="1"/>
    <col min="9988" max="9988" width="1.28515625" style="71" customWidth="1"/>
    <col min="9989" max="9989" width="0.5703125" style="71" customWidth="1"/>
    <col min="9990" max="9990" width="39.85546875" style="71" customWidth="1"/>
    <col min="9991" max="9991" width="15.42578125" style="71" bestFit="1" customWidth="1"/>
    <col min="9992" max="9992" width="1.140625" style="71" customWidth="1"/>
    <col min="9993" max="9993" width="8" style="71"/>
    <col min="9994" max="9994" width="20.140625" style="71" customWidth="1"/>
    <col min="9995" max="10239" width="8" style="71"/>
    <col min="10240" max="10240" width="1.5703125" style="71" customWidth="1"/>
    <col min="10241" max="10241" width="41.42578125" style="71" customWidth="1"/>
    <col min="10242" max="10242" width="15.28515625" style="71" customWidth="1"/>
    <col min="10243" max="10243" width="1.140625" style="71" customWidth="1"/>
    <col min="10244" max="10244" width="1.28515625" style="71" customWidth="1"/>
    <col min="10245" max="10245" width="0.5703125" style="71" customWidth="1"/>
    <col min="10246" max="10246" width="39.85546875" style="71" customWidth="1"/>
    <col min="10247" max="10247" width="15.42578125" style="71" bestFit="1" customWidth="1"/>
    <col min="10248" max="10248" width="1.140625" style="71" customWidth="1"/>
    <col min="10249" max="10249" width="8" style="71"/>
    <col min="10250" max="10250" width="20.140625" style="71" customWidth="1"/>
    <col min="10251" max="10495" width="8" style="71"/>
    <col min="10496" max="10496" width="1.5703125" style="71" customWidth="1"/>
    <col min="10497" max="10497" width="41.42578125" style="71" customWidth="1"/>
    <col min="10498" max="10498" width="15.28515625" style="71" customWidth="1"/>
    <col min="10499" max="10499" width="1.140625" style="71" customWidth="1"/>
    <col min="10500" max="10500" width="1.28515625" style="71" customWidth="1"/>
    <col min="10501" max="10501" width="0.5703125" style="71" customWidth="1"/>
    <col min="10502" max="10502" width="39.85546875" style="71" customWidth="1"/>
    <col min="10503" max="10503" width="15.42578125" style="71" bestFit="1" customWidth="1"/>
    <col min="10504" max="10504" width="1.140625" style="71" customWidth="1"/>
    <col min="10505" max="10505" width="8" style="71"/>
    <col min="10506" max="10506" width="20.140625" style="71" customWidth="1"/>
    <col min="10507" max="10751" width="8" style="71"/>
    <col min="10752" max="10752" width="1.5703125" style="71" customWidth="1"/>
    <col min="10753" max="10753" width="41.42578125" style="71" customWidth="1"/>
    <col min="10754" max="10754" width="15.28515625" style="71" customWidth="1"/>
    <col min="10755" max="10755" width="1.140625" style="71" customWidth="1"/>
    <col min="10756" max="10756" width="1.28515625" style="71" customWidth="1"/>
    <col min="10757" max="10757" width="0.5703125" style="71" customWidth="1"/>
    <col min="10758" max="10758" width="39.85546875" style="71" customWidth="1"/>
    <col min="10759" max="10759" width="15.42578125" style="71" bestFit="1" customWidth="1"/>
    <col min="10760" max="10760" width="1.140625" style="71" customWidth="1"/>
    <col min="10761" max="10761" width="8" style="71"/>
    <col min="10762" max="10762" width="20.140625" style="71" customWidth="1"/>
    <col min="10763" max="11007" width="8" style="71"/>
    <col min="11008" max="11008" width="1.5703125" style="71" customWidth="1"/>
    <col min="11009" max="11009" width="41.42578125" style="71" customWidth="1"/>
    <col min="11010" max="11010" width="15.28515625" style="71" customWidth="1"/>
    <col min="11011" max="11011" width="1.140625" style="71" customWidth="1"/>
    <col min="11012" max="11012" width="1.28515625" style="71" customWidth="1"/>
    <col min="11013" max="11013" width="0.5703125" style="71" customWidth="1"/>
    <col min="11014" max="11014" width="39.85546875" style="71" customWidth="1"/>
    <col min="11015" max="11015" width="15.42578125" style="71" bestFit="1" customWidth="1"/>
    <col min="11016" max="11016" width="1.140625" style="71" customWidth="1"/>
    <col min="11017" max="11017" width="8" style="71"/>
    <col min="11018" max="11018" width="20.140625" style="71" customWidth="1"/>
    <col min="11019" max="11263" width="8" style="71"/>
    <col min="11264" max="11264" width="1.5703125" style="71" customWidth="1"/>
    <col min="11265" max="11265" width="41.42578125" style="71" customWidth="1"/>
    <col min="11266" max="11266" width="15.28515625" style="71" customWidth="1"/>
    <col min="11267" max="11267" width="1.140625" style="71" customWidth="1"/>
    <col min="11268" max="11268" width="1.28515625" style="71" customWidth="1"/>
    <col min="11269" max="11269" width="0.5703125" style="71" customWidth="1"/>
    <col min="11270" max="11270" width="39.85546875" style="71" customWidth="1"/>
    <col min="11271" max="11271" width="15.42578125" style="71" bestFit="1" customWidth="1"/>
    <col min="11272" max="11272" width="1.140625" style="71" customWidth="1"/>
    <col min="11273" max="11273" width="8" style="71"/>
    <col min="11274" max="11274" width="20.140625" style="71" customWidth="1"/>
    <col min="11275" max="11519" width="8" style="71"/>
    <col min="11520" max="11520" width="1.5703125" style="71" customWidth="1"/>
    <col min="11521" max="11521" width="41.42578125" style="71" customWidth="1"/>
    <col min="11522" max="11522" width="15.28515625" style="71" customWidth="1"/>
    <col min="11523" max="11523" width="1.140625" style="71" customWidth="1"/>
    <col min="11524" max="11524" width="1.28515625" style="71" customWidth="1"/>
    <col min="11525" max="11525" width="0.5703125" style="71" customWidth="1"/>
    <col min="11526" max="11526" width="39.85546875" style="71" customWidth="1"/>
    <col min="11527" max="11527" width="15.42578125" style="71" bestFit="1" customWidth="1"/>
    <col min="11528" max="11528" width="1.140625" style="71" customWidth="1"/>
    <col min="11529" max="11529" width="8" style="71"/>
    <col min="11530" max="11530" width="20.140625" style="71" customWidth="1"/>
    <col min="11531" max="11775" width="8" style="71"/>
    <col min="11776" max="11776" width="1.5703125" style="71" customWidth="1"/>
    <col min="11777" max="11777" width="41.42578125" style="71" customWidth="1"/>
    <col min="11778" max="11778" width="15.28515625" style="71" customWidth="1"/>
    <col min="11779" max="11779" width="1.140625" style="71" customWidth="1"/>
    <col min="11780" max="11780" width="1.28515625" style="71" customWidth="1"/>
    <col min="11781" max="11781" width="0.5703125" style="71" customWidth="1"/>
    <col min="11782" max="11782" width="39.85546875" style="71" customWidth="1"/>
    <col min="11783" max="11783" width="15.42578125" style="71" bestFit="1" customWidth="1"/>
    <col min="11784" max="11784" width="1.140625" style="71" customWidth="1"/>
    <col min="11785" max="11785" width="8" style="71"/>
    <col min="11786" max="11786" width="20.140625" style="71" customWidth="1"/>
    <col min="11787" max="12031" width="8" style="71"/>
    <col min="12032" max="12032" width="1.5703125" style="71" customWidth="1"/>
    <col min="12033" max="12033" width="41.42578125" style="71" customWidth="1"/>
    <col min="12034" max="12034" width="15.28515625" style="71" customWidth="1"/>
    <col min="12035" max="12035" width="1.140625" style="71" customWidth="1"/>
    <col min="12036" max="12036" width="1.28515625" style="71" customWidth="1"/>
    <col min="12037" max="12037" width="0.5703125" style="71" customWidth="1"/>
    <col min="12038" max="12038" width="39.85546875" style="71" customWidth="1"/>
    <col min="12039" max="12039" width="15.42578125" style="71" bestFit="1" customWidth="1"/>
    <col min="12040" max="12040" width="1.140625" style="71" customWidth="1"/>
    <col min="12041" max="12041" width="8" style="71"/>
    <col min="12042" max="12042" width="20.140625" style="71" customWidth="1"/>
    <col min="12043" max="12287" width="8" style="71"/>
    <col min="12288" max="12288" width="1.5703125" style="71" customWidth="1"/>
    <col min="12289" max="12289" width="41.42578125" style="71" customWidth="1"/>
    <col min="12290" max="12290" width="15.28515625" style="71" customWidth="1"/>
    <col min="12291" max="12291" width="1.140625" style="71" customWidth="1"/>
    <col min="12292" max="12292" width="1.28515625" style="71" customWidth="1"/>
    <col min="12293" max="12293" width="0.5703125" style="71" customWidth="1"/>
    <col min="12294" max="12294" width="39.85546875" style="71" customWidth="1"/>
    <col min="12295" max="12295" width="15.42578125" style="71" bestFit="1" customWidth="1"/>
    <col min="12296" max="12296" width="1.140625" style="71" customWidth="1"/>
    <col min="12297" max="12297" width="8" style="71"/>
    <col min="12298" max="12298" width="20.140625" style="71" customWidth="1"/>
    <col min="12299" max="12543" width="8" style="71"/>
    <col min="12544" max="12544" width="1.5703125" style="71" customWidth="1"/>
    <col min="12545" max="12545" width="41.42578125" style="71" customWidth="1"/>
    <col min="12546" max="12546" width="15.28515625" style="71" customWidth="1"/>
    <col min="12547" max="12547" width="1.140625" style="71" customWidth="1"/>
    <col min="12548" max="12548" width="1.28515625" style="71" customWidth="1"/>
    <col min="12549" max="12549" width="0.5703125" style="71" customWidth="1"/>
    <col min="12550" max="12550" width="39.85546875" style="71" customWidth="1"/>
    <col min="12551" max="12551" width="15.42578125" style="71" bestFit="1" customWidth="1"/>
    <col min="12552" max="12552" width="1.140625" style="71" customWidth="1"/>
    <col min="12553" max="12553" width="8" style="71"/>
    <col min="12554" max="12554" width="20.140625" style="71" customWidth="1"/>
    <col min="12555" max="12799" width="8" style="71"/>
    <col min="12800" max="12800" width="1.5703125" style="71" customWidth="1"/>
    <col min="12801" max="12801" width="41.42578125" style="71" customWidth="1"/>
    <col min="12802" max="12802" width="15.28515625" style="71" customWidth="1"/>
    <col min="12803" max="12803" width="1.140625" style="71" customWidth="1"/>
    <col min="12804" max="12804" width="1.28515625" style="71" customWidth="1"/>
    <col min="12805" max="12805" width="0.5703125" style="71" customWidth="1"/>
    <col min="12806" max="12806" width="39.85546875" style="71" customWidth="1"/>
    <col min="12807" max="12807" width="15.42578125" style="71" bestFit="1" customWidth="1"/>
    <col min="12808" max="12808" width="1.140625" style="71" customWidth="1"/>
    <col min="12809" max="12809" width="8" style="71"/>
    <col min="12810" max="12810" width="20.140625" style="71" customWidth="1"/>
    <col min="12811" max="13055" width="8" style="71"/>
    <col min="13056" max="13056" width="1.5703125" style="71" customWidth="1"/>
    <col min="13057" max="13057" width="41.42578125" style="71" customWidth="1"/>
    <col min="13058" max="13058" width="15.28515625" style="71" customWidth="1"/>
    <col min="13059" max="13059" width="1.140625" style="71" customWidth="1"/>
    <col min="13060" max="13060" width="1.28515625" style="71" customWidth="1"/>
    <col min="13061" max="13061" width="0.5703125" style="71" customWidth="1"/>
    <col min="13062" max="13062" width="39.85546875" style="71" customWidth="1"/>
    <col min="13063" max="13063" width="15.42578125" style="71" bestFit="1" customWidth="1"/>
    <col min="13064" max="13064" width="1.140625" style="71" customWidth="1"/>
    <col min="13065" max="13065" width="8" style="71"/>
    <col min="13066" max="13066" width="20.140625" style="71" customWidth="1"/>
    <col min="13067" max="13311" width="8" style="71"/>
    <col min="13312" max="13312" width="1.5703125" style="71" customWidth="1"/>
    <col min="13313" max="13313" width="41.42578125" style="71" customWidth="1"/>
    <col min="13314" max="13314" width="15.28515625" style="71" customWidth="1"/>
    <col min="13315" max="13315" width="1.140625" style="71" customWidth="1"/>
    <col min="13316" max="13316" width="1.28515625" style="71" customWidth="1"/>
    <col min="13317" max="13317" width="0.5703125" style="71" customWidth="1"/>
    <col min="13318" max="13318" width="39.85546875" style="71" customWidth="1"/>
    <col min="13319" max="13319" width="15.42578125" style="71" bestFit="1" customWidth="1"/>
    <col min="13320" max="13320" width="1.140625" style="71" customWidth="1"/>
    <col min="13321" max="13321" width="8" style="71"/>
    <col min="13322" max="13322" width="20.140625" style="71" customWidth="1"/>
    <col min="13323" max="13567" width="8" style="71"/>
    <col min="13568" max="13568" width="1.5703125" style="71" customWidth="1"/>
    <col min="13569" max="13569" width="41.42578125" style="71" customWidth="1"/>
    <col min="13570" max="13570" width="15.28515625" style="71" customWidth="1"/>
    <col min="13571" max="13571" width="1.140625" style="71" customWidth="1"/>
    <col min="13572" max="13572" width="1.28515625" style="71" customWidth="1"/>
    <col min="13573" max="13573" width="0.5703125" style="71" customWidth="1"/>
    <col min="13574" max="13574" width="39.85546875" style="71" customWidth="1"/>
    <col min="13575" max="13575" width="15.42578125" style="71" bestFit="1" customWidth="1"/>
    <col min="13576" max="13576" width="1.140625" style="71" customWidth="1"/>
    <col min="13577" max="13577" width="8" style="71"/>
    <col min="13578" max="13578" width="20.140625" style="71" customWidth="1"/>
    <col min="13579" max="13823" width="8" style="71"/>
    <col min="13824" max="13824" width="1.5703125" style="71" customWidth="1"/>
    <col min="13825" max="13825" width="41.42578125" style="71" customWidth="1"/>
    <col min="13826" max="13826" width="15.28515625" style="71" customWidth="1"/>
    <col min="13827" max="13827" width="1.140625" style="71" customWidth="1"/>
    <col min="13828" max="13828" width="1.28515625" style="71" customWidth="1"/>
    <col min="13829" max="13829" width="0.5703125" style="71" customWidth="1"/>
    <col min="13830" max="13830" width="39.85546875" style="71" customWidth="1"/>
    <col min="13831" max="13831" width="15.42578125" style="71" bestFit="1" customWidth="1"/>
    <col min="13832" max="13832" width="1.140625" style="71" customWidth="1"/>
    <col min="13833" max="13833" width="8" style="71"/>
    <col min="13834" max="13834" width="20.140625" style="71" customWidth="1"/>
    <col min="13835" max="14079" width="8" style="71"/>
    <col min="14080" max="14080" width="1.5703125" style="71" customWidth="1"/>
    <col min="14081" max="14081" width="41.42578125" style="71" customWidth="1"/>
    <col min="14082" max="14082" width="15.28515625" style="71" customWidth="1"/>
    <col min="14083" max="14083" width="1.140625" style="71" customWidth="1"/>
    <col min="14084" max="14084" width="1.28515625" style="71" customWidth="1"/>
    <col min="14085" max="14085" width="0.5703125" style="71" customWidth="1"/>
    <col min="14086" max="14086" width="39.85546875" style="71" customWidth="1"/>
    <col min="14087" max="14087" width="15.42578125" style="71" bestFit="1" customWidth="1"/>
    <col min="14088" max="14088" width="1.140625" style="71" customWidth="1"/>
    <col min="14089" max="14089" width="8" style="71"/>
    <col min="14090" max="14090" width="20.140625" style="71" customWidth="1"/>
    <col min="14091" max="14335" width="8" style="71"/>
    <col min="14336" max="14336" width="1.5703125" style="71" customWidth="1"/>
    <col min="14337" max="14337" width="41.42578125" style="71" customWidth="1"/>
    <col min="14338" max="14338" width="15.28515625" style="71" customWidth="1"/>
    <col min="14339" max="14339" width="1.140625" style="71" customWidth="1"/>
    <col min="14340" max="14340" width="1.28515625" style="71" customWidth="1"/>
    <col min="14341" max="14341" width="0.5703125" style="71" customWidth="1"/>
    <col min="14342" max="14342" width="39.85546875" style="71" customWidth="1"/>
    <col min="14343" max="14343" width="15.42578125" style="71" bestFit="1" customWidth="1"/>
    <col min="14344" max="14344" width="1.140625" style="71" customWidth="1"/>
    <col min="14345" max="14345" width="8" style="71"/>
    <col min="14346" max="14346" width="20.140625" style="71" customWidth="1"/>
    <col min="14347" max="14591" width="8" style="71"/>
    <col min="14592" max="14592" width="1.5703125" style="71" customWidth="1"/>
    <col min="14593" max="14593" width="41.42578125" style="71" customWidth="1"/>
    <col min="14594" max="14594" width="15.28515625" style="71" customWidth="1"/>
    <col min="14595" max="14595" width="1.140625" style="71" customWidth="1"/>
    <col min="14596" max="14596" width="1.28515625" style="71" customWidth="1"/>
    <col min="14597" max="14597" width="0.5703125" style="71" customWidth="1"/>
    <col min="14598" max="14598" width="39.85546875" style="71" customWidth="1"/>
    <col min="14599" max="14599" width="15.42578125" style="71" bestFit="1" customWidth="1"/>
    <col min="14600" max="14600" width="1.140625" style="71" customWidth="1"/>
    <col min="14601" max="14601" width="8" style="71"/>
    <col min="14602" max="14602" width="20.140625" style="71" customWidth="1"/>
    <col min="14603" max="14847" width="8" style="71"/>
    <col min="14848" max="14848" width="1.5703125" style="71" customWidth="1"/>
    <col min="14849" max="14849" width="41.42578125" style="71" customWidth="1"/>
    <col min="14850" max="14850" width="15.28515625" style="71" customWidth="1"/>
    <col min="14851" max="14851" width="1.140625" style="71" customWidth="1"/>
    <col min="14852" max="14852" width="1.28515625" style="71" customWidth="1"/>
    <col min="14853" max="14853" width="0.5703125" style="71" customWidth="1"/>
    <col min="14854" max="14854" width="39.85546875" style="71" customWidth="1"/>
    <col min="14855" max="14855" width="15.42578125" style="71" bestFit="1" customWidth="1"/>
    <col min="14856" max="14856" width="1.140625" style="71" customWidth="1"/>
    <col min="14857" max="14857" width="8" style="71"/>
    <col min="14858" max="14858" width="20.140625" style="71" customWidth="1"/>
    <col min="14859" max="15103" width="8" style="71"/>
    <col min="15104" max="15104" width="1.5703125" style="71" customWidth="1"/>
    <col min="15105" max="15105" width="41.42578125" style="71" customWidth="1"/>
    <col min="15106" max="15106" width="15.28515625" style="71" customWidth="1"/>
    <col min="15107" max="15107" width="1.140625" style="71" customWidth="1"/>
    <col min="15108" max="15108" width="1.28515625" style="71" customWidth="1"/>
    <col min="15109" max="15109" width="0.5703125" style="71" customWidth="1"/>
    <col min="15110" max="15110" width="39.85546875" style="71" customWidth="1"/>
    <col min="15111" max="15111" width="15.42578125" style="71" bestFit="1" customWidth="1"/>
    <col min="15112" max="15112" width="1.140625" style="71" customWidth="1"/>
    <col min="15113" max="15113" width="8" style="71"/>
    <col min="15114" max="15114" width="20.140625" style="71" customWidth="1"/>
    <col min="15115" max="15359" width="8" style="71"/>
    <col min="15360" max="15360" width="1.5703125" style="71" customWidth="1"/>
    <col min="15361" max="15361" width="41.42578125" style="71" customWidth="1"/>
    <col min="15362" max="15362" width="15.28515625" style="71" customWidth="1"/>
    <col min="15363" max="15363" width="1.140625" style="71" customWidth="1"/>
    <col min="15364" max="15364" width="1.28515625" style="71" customWidth="1"/>
    <col min="15365" max="15365" width="0.5703125" style="71" customWidth="1"/>
    <col min="15366" max="15366" width="39.85546875" style="71" customWidth="1"/>
    <col min="15367" max="15367" width="15.42578125" style="71" bestFit="1" customWidth="1"/>
    <col min="15368" max="15368" width="1.140625" style="71" customWidth="1"/>
    <col min="15369" max="15369" width="8" style="71"/>
    <col min="15370" max="15370" width="20.140625" style="71" customWidth="1"/>
    <col min="15371" max="15615" width="8" style="71"/>
    <col min="15616" max="15616" width="1.5703125" style="71" customWidth="1"/>
    <col min="15617" max="15617" width="41.42578125" style="71" customWidth="1"/>
    <col min="15618" max="15618" width="15.28515625" style="71" customWidth="1"/>
    <col min="15619" max="15619" width="1.140625" style="71" customWidth="1"/>
    <col min="15620" max="15620" width="1.28515625" style="71" customWidth="1"/>
    <col min="15621" max="15621" width="0.5703125" style="71" customWidth="1"/>
    <col min="15622" max="15622" width="39.85546875" style="71" customWidth="1"/>
    <col min="15623" max="15623" width="15.42578125" style="71" bestFit="1" customWidth="1"/>
    <col min="15624" max="15624" width="1.140625" style="71" customWidth="1"/>
    <col min="15625" max="15625" width="8" style="71"/>
    <col min="15626" max="15626" width="20.140625" style="71" customWidth="1"/>
    <col min="15627" max="15871" width="8" style="71"/>
    <col min="15872" max="15872" width="1.5703125" style="71" customWidth="1"/>
    <col min="15873" max="15873" width="41.42578125" style="71" customWidth="1"/>
    <col min="15874" max="15874" width="15.28515625" style="71" customWidth="1"/>
    <col min="15875" max="15875" width="1.140625" style="71" customWidth="1"/>
    <col min="15876" max="15876" width="1.28515625" style="71" customWidth="1"/>
    <col min="15877" max="15877" width="0.5703125" style="71" customWidth="1"/>
    <col min="15878" max="15878" width="39.85546875" style="71" customWidth="1"/>
    <col min="15879" max="15879" width="15.42578125" style="71" bestFit="1" customWidth="1"/>
    <col min="15880" max="15880" width="1.140625" style="71" customWidth="1"/>
    <col min="15881" max="15881" width="8" style="71"/>
    <col min="15882" max="15882" width="20.140625" style="71" customWidth="1"/>
    <col min="15883" max="16127" width="8" style="71"/>
    <col min="16128" max="16128" width="1.5703125" style="71" customWidth="1"/>
    <col min="16129" max="16129" width="41.42578125" style="71" customWidth="1"/>
    <col min="16130" max="16130" width="15.28515625" style="71" customWidth="1"/>
    <col min="16131" max="16131" width="1.140625" style="71" customWidth="1"/>
    <col min="16132" max="16132" width="1.28515625" style="71" customWidth="1"/>
    <col min="16133" max="16133" width="0.5703125" style="71" customWidth="1"/>
    <col min="16134" max="16134" width="39.85546875" style="71" customWidth="1"/>
    <col min="16135" max="16135" width="15.42578125" style="71" bestFit="1" customWidth="1"/>
    <col min="16136" max="16136" width="1.140625" style="71" customWidth="1"/>
    <col min="16137" max="16137" width="8" style="71"/>
    <col min="16138" max="16138" width="20.140625" style="71" customWidth="1"/>
    <col min="16139" max="16384" width="8" style="71"/>
  </cols>
  <sheetData>
    <row r="1" spans="1:10" ht="13.5" thickBot="1">
      <c r="A1" s="769" t="s">
        <v>0</v>
      </c>
      <c r="B1" s="770"/>
      <c r="C1" s="770"/>
      <c r="D1" s="770"/>
      <c r="E1" s="770"/>
      <c r="F1" s="770"/>
      <c r="G1" s="770"/>
      <c r="H1" s="770"/>
    </row>
    <row r="2" spans="1:10" ht="13.5" thickTop="1">
      <c r="A2" s="771" t="s">
        <v>536</v>
      </c>
      <c r="B2" s="772"/>
      <c r="C2" s="772"/>
      <c r="D2" s="772"/>
      <c r="E2" s="772"/>
      <c r="F2" s="772"/>
      <c r="G2" s="772"/>
      <c r="H2" s="772"/>
    </row>
    <row r="3" spans="1:10">
      <c r="A3" s="773" t="s">
        <v>537</v>
      </c>
      <c r="B3" s="774"/>
      <c r="C3" s="774"/>
      <c r="D3" s="774"/>
      <c r="E3" s="774"/>
      <c r="F3" s="774"/>
      <c r="G3" s="774"/>
      <c r="H3" s="774"/>
    </row>
    <row r="4" spans="1:10">
      <c r="A4" s="73"/>
      <c r="B4" s="74"/>
      <c r="C4" s="124"/>
      <c r="D4" s="74"/>
      <c r="E4" s="74"/>
      <c r="F4" s="74"/>
      <c r="G4" s="74"/>
      <c r="H4" s="74"/>
    </row>
    <row r="5" spans="1:10" ht="14.1">
      <c r="A5" s="75"/>
      <c r="B5" s="76" t="s">
        <v>538</v>
      </c>
      <c r="C5" s="125"/>
      <c r="D5" s="78"/>
      <c r="E5" s="79"/>
      <c r="F5" s="75"/>
      <c r="G5" s="76" t="s">
        <v>539</v>
      </c>
      <c r="H5" s="77"/>
    </row>
    <row r="6" spans="1:10" ht="14.1">
      <c r="A6" s="80"/>
      <c r="B6" s="81"/>
      <c r="C6" s="126"/>
      <c r="D6" s="82"/>
      <c r="E6" s="83"/>
      <c r="F6" s="80"/>
      <c r="G6" s="84"/>
      <c r="H6" s="85"/>
    </row>
    <row r="7" spans="1:10">
      <c r="A7" s="86"/>
      <c r="B7" s="83" t="s">
        <v>458</v>
      </c>
      <c r="C7" s="123">
        <v>824295808437.58997</v>
      </c>
      <c r="D7" s="87"/>
      <c r="E7" s="85"/>
      <c r="F7" s="88"/>
      <c r="G7" s="83" t="s">
        <v>540</v>
      </c>
      <c r="H7" s="89">
        <v>310638168000</v>
      </c>
      <c r="J7" s="90"/>
    </row>
    <row r="8" spans="1:10">
      <c r="A8" s="86"/>
      <c r="B8" s="83" t="s">
        <v>541</v>
      </c>
      <c r="C8" s="123">
        <v>65228522019.203339</v>
      </c>
      <c r="D8" s="87"/>
      <c r="E8" s="85"/>
      <c r="F8" s="88"/>
      <c r="G8" s="83" t="s">
        <v>542</v>
      </c>
      <c r="H8" s="89">
        <v>635661587000</v>
      </c>
      <c r="J8" s="90"/>
    </row>
    <row r="9" spans="1:10">
      <c r="A9" s="86"/>
      <c r="B9" s="83" t="s">
        <v>528</v>
      </c>
      <c r="C9" s="123">
        <v>1283400000</v>
      </c>
      <c r="D9" s="87"/>
      <c r="E9" s="85"/>
      <c r="F9" s="88"/>
      <c r="G9" s="83" t="s">
        <v>543</v>
      </c>
      <c r="H9" s="85"/>
    </row>
    <row r="10" spans="1:10">
      <c r="A10" s="86"/>
      <c r="B10" s="83"/>
      <c r="C10" s="123"/>
      <c r="D10" s="87"/>
      <c r="E10" s="85"/>
      <c r="F10" s="88"/>
      <c r="G10" s="83"/>
      <c r="H10" s="85"/>
    </row>
    <row r="11" spans="1:10" ht="12.6" thickBot="1">
      <c r="A11" s="86"/>
      <c r="B11" s="91" t="s">
        <v>38</v>
      </c>
      <c r="C11" s="127">
        <v>890807730456.79333</v>
      </c>
      <c r="D11" s="92"/>
      <c r="E11" s="85"/>
      <c r="F11" s="88"/>
      <c r="G11" s="91" t="s">
        <v>38</v>
      </c>
      <c r="H11" s="572">
        <v>946299755000</v>
      </c>
    </row>
    <row r="12" spans="1:10" ht="12.6" thickTop="1">
      <c r="A12" s="86"/>
      <c r="B12" s="83"/>
      <c r="C12" s="123"/>
      <c r="D12" s="87"/>
      <c r="E12" s="85"/>
      <c r="F12" s="88"/>
      <c r="G12" s="83"/>
      <c r="H12" s="85"/>
    </row>
    <row r="13" spans="1:10">
      <c r="A13" s="86"/>
      <c r="B13" s="83" t="s">
        <v>543</v>
      </c>
      <c r="C13" s="123"/>
      <c r="D13" s="87"/>
      <c r="E13" s="85"/>
      <c r="F13" s="88"/>
      <c r="G13" s="83"/>
      <c r="H13" s="85"/>
    </row>
    <row r="14" spans="1:10">
      <c r="A14" s="86"/>
      <c r="B14" s="83" t="s">
        <v>499</v>
      </c>
      <c r="C14" s="123">
        <v>15994531256.809999</v>
      </c>
      <c r="D14" s="87"/>
      <c r="E14" s="85"/>
      <c r="F14" s="88"/>
      <c r="G14" s="83"/>
      <c r="H14" s="85"/>
    </row>
    <row r="15" spans="1:10">
      <c r="A15" s="86"/>
      <c r="B15" s="83" t="s">
        <v>532</v>
      </c>
      <c r="C15" s="123">
        <v>6591107000</v>
      </c>
      <c r="D15" s="87"/>
      <c r="E15" s="85"/>
      <c r="F15" s="88"/>
      <c r="G15" s="83"/>
      <c r="H15" s="85"/>
    </row>
    <row r="16" spans="1:10">
      <c r="A16" s="86"/>
      <c r="B16" s="91" t="s">
        <v>544</v>
      </c>
      <c r="C16" s="123"/>
      <c r="D16" s="87"/>
      <c r="E16" s="85"/>
      <c r="F16" s="88"/>
      <c r="G16" s="93" t="s">
        <v>500</v>
      </c>
      <c r="H16" s="85"/>
    </row>
    <row r="17" spans="1:10">
      <c r="A17" s="86"/>
      <c r="C17" s="128"/>
      <c r="D17" s="95"/>
      <c r="E17" s="94"/>
      <c r="F17" s="96"/>
      <c r="G17" s="83"/>
      <c r="H17" s="85"/>
    </row>
    <row r="18" spans="1:10">
      <c r="A18" s="86"/>
      <c r="B18" s="91" t="s">
        <v>545</v>
      </c>
      <c r="C18" s="129"/>
      <c r="D18" s="92"/>
      <c r="E18" s="97"/>
      <c r="F18" s="98"/>
      <c r="G18" s="83" t="s">
        <v>540</v>
      </c>
      <c r="H18" s="89"/>
      <c r="J18" s="85"/>
    </row>
    <row r="19" spans="1:10">
      <c r="A19" s="86"/>
      <c r="C19" s="123"/>
      <c r="D19" s="72"/>
      <c r="E19" s="85"/>
      <c r="F19" s="88"/>
      <c r="G19" s="83" t="s">
        <v>542</v>
      </c>
      <c r="H19" s="85">
        <v>75372890000</v>
      </c>
    </row>
    <row r="20" spans="1:10">
      <c r="A20" s="99"/>
      <c r="B20" s="71" t="s">
        <v>546</v>
      </c>
      <c r="C20" s="123">
        <v>60330794766.18</v>
      </c>
      <c r="D20" s="87"/>
      <c r="E20" s="85"/>
      <c r="F20" s="88"/>
      <c r="G20" s="100" t="s">
        <v>547</v>
      </c>
      <c r="H20" s="85"/>
      <c r="J20" s="85"/>
    </row>
    <row r="21" spans="1:10">
      <c r="A21" s="86"/>
      <c r="B21" s="71" t="s">
        <v>548</v>
      </c>
      <c r="C21" s="123">
        <v>17066369000</v>
      </c>
      <c r="D21" s="87"/>
      <c r="E21" s="85"/>
      <c r="F21" s="88"/>
    </row>
    <row r="22" spans="1:10">
      <c r="A22" s="86"/>
      <c r="B22" s="83" t="s">
        <v>549</v>
      </c>
      <c r="C22" s="123"/>
      <c r="D22" s="101"/>
      <c r="E22" s="85"/>
      <c r="F22" s="88"/>
      <c r="G22" s="83"/>
      <c r="H22" s="85"/>
    </row>
    <row r="23" spans="1:10">
      <c r="A23" s="86"/>
      <c r="B23" s="83"/>
      <c r="C23" s="123"/>
      <c r="D23" s="101"/>
      <c r="E23" s="85"/>
      <c r="F23" s="88"/>
      <c r="G23" s="83"/>
      <c r="H23" s="85"/>
    </row>
    <row r="24" spans="1:10" ht="12.95">
      <c r="A24" s="86"/>
      <c r="B24" s="102" t="s">
        <v>515</v>
      </c>
      <c r="C24" s="129">
        <v>77397163766.179993</v>
      </c>
      <c r="D24" s="92"/>
      <c r="E24" s="85"/>
      <c r="F24" s="88"/>
      <c r="G24" s="83"/>
      <c r="H24" s="85"/>
    </row>
    <row r="25" spans="1:10">
      <c r="A25" s="86"/>
      <c r="C25" s="123"/>
      <c r="D25" s="72"/>
      <c r="E25" s="97"/>
      <c r="F25" s="98"/>
      <c r="G25" s="91"/>
      <c r="H25" s="97"/>
    </row>
    <row r="26" spans="1:10">
      <c r="A26" s="86"/>
      <c r="B26" s="91" t="s">
        <v>550</v>
      </c>
      <c r="C26" s="129">
        <v>62075307000</v>
      </c>
      <c r="D26" s="92"/>
      <c r="E26" s="85"/>
      <c r="F26" s="88"/>
      <c r="H26" s="85"/>
    </row>
    <row r="27" spans="1:10">
      <c r="A27" s="86"/>
      <c r="C27" s="123"/>
      <c r="D27" s="72"/>
      <c r="E27" s="97"/>
      <c r="F27" s="98"/>
      <c r="G27" s="83"/>
      <c r="H27" s="85"/>
    </row>
    <row r="28" spans="1:10">
      <c r="A28" s="86"/>
      <c r="B28" s="91" t="s">
        <v>551</v>
      </c>
      <c r="C28" s="129">
        <v>139472470766.17999</v>
      </c>
      <c r="D28" s="92"/>
      <c r="E28" s="85"/>
      <c r="F28" s="88"/>
      <c r="H28" s="85"/>
    </row>
    <row r="29" spans="1:10">
      <c r="A29" s="86"/>
      <c r="C29" s="123"/>
      <c r="D29" s="72"/>
      <c r="E29" s="97"/>
      <c r="F29" s="98"/>
    </row>
    <row r="30" spans="1:10">
      <c r="A30" s="86"/>
      <c r="C30" s="123"/>
      <c r="D30" s="104"/>
      <c r="E30" s="103"/>
      <c r="F30" s="105"/>
    </row>
    <row r="31" spans="1:10">
      <c r="A31" s="86"/>
      <c r="C31" s="123"/>
      <c r="D31" s="104"/>
      <c r="E31" s="103"/>
      <c r="F31" s="105"/>
    </row>
    <row r="32" spans="1:10">
      <c r="A32" s="86"/>
      <c r="C32" s="123"/>
      <c r="D32" s="104"/>
      <c r="E32" s="103"/>
      <c r="F32" s="105"/>
    </row>
    <row r="33" spans="1:8">
      <c r="A33" s="86"/>
      <c r="C33" s="123"/>
      <c r="D33" s="104"/>
      <c r="E33" s="103"/>
      <c r="F33" s="105"/>
    </row>
    <row r="34" spans="1:8">
      <c r="A34" s="86"/>
      <c r="C34" s="123"/>
      <c r="D34" s="104"/>
      <c r="E34" s="103"/>
      <c r="F34" s="105"/>
    </row>
    <row r="35" spans="1:8">
      <c r="A35" s="86"/>
      <c r="C35" s="123"/>
      <c r="D35" s="104"/>
      <c r="E35" s="103"/>
      <c r="F35" s="105"/>
    </row>
    <row r="36" spans="1:8">
      <c r="A36" s="86"/>
      <c r="C36" s="123"/>
      <c r="D36" s="104"/>
      <c r="E36" s="103"/>
      <c r="F36" s="105"/>
    </row>
    <row r="37" spans="1:8">
      <c r="A37" s="86"/>
      <c r="C37" s="123"/>
      <c r="D37" s="104"/>
      <c r="E37" s="103"/>
      <c r="F37" s="105"/>
    </row>
    <row r="38" spans="1:8">
      <c r="A38" s="86"/>
      <c r="C38" s="123"/>
      <c r="D38" s="104"/>
      <c r="E38" s="103"/>
      <c r="F38" s="105"/>
    </row>
    <row r="39" spans="1:8">
      <c r="A39" s="86"/>
      <c r="C39" s="123"/>
      <c r="D39" s="104"/>
      <c r="E39" s="103"/>
      <c r="F39" s="105"/>
    </row>
    <row r="40" spans="1:8">
      <c r="A40" s="86"/>
      <c r="C40" s="123"/>
      <c r="D40" s="104"/>
      <c r="E40" s="103"/>
      <c r="F40" s="105"/>
    </row>
    <row r="41" spans="1:8">
      <c r="A41" s="86"/>
      <c r="C41" s="123"/>
      <c r="D41" s="104"/>
      <c r="E41" s="103"/>
      <c r="F41" s="105"/>
    </row>
    <row r="42" spans="1:8">
      <c r="A42" s="86"/>
      <c r="C42" s="123"/>
      <c r="D42" s="104"/>
      <c r="E42" s="103"/>
      <c r="F42" s="105"/>
    </row>
    <row r="43" spans="1:8">
      <c r="A43" s="86"/>
      <c r="C43" s="123"/>
      <c r="D43" s="104"/>
      <c r="E43" s="103"/>
      <c r="F43" s="105"/>
    </row>
    <row r="44" spans="1:8">
      <c r="A44" s="86"/>
      <c r="C44" s="123"/>
      <c r="D44" s="104"/>
      <c r="E44" s="103"/>
      <c r="F44" s="105"/>
    </row>
    <row r="45" spans="1:8">
      <c r="A45" s="86"/>
      <c r="C45" s="123"/>
      <c r="D45" s="104"/>
      <c r="E45" s="103"/>
      <c r="F45" s="105"/>
    </row>
    <row r="46" spans="1:8">
      <c r="A46" s="86"/>
      <c r="C46" s="123"/>
      <c r="D46" s="104"/>
      <c r="E46" s="103"/>
      <c r="F46" s="105"/>
    </row>
    <row r="47" spans="1:8">
      <c r="A47" s="86"/>
      <c r="C47" s="123"/>
      <c r="D47" s="104"/>
      <c r="E47" s="103"/>
      <c r="F47" s="105"/>
    </row>
    <row r="48" spans="1:8" ht="12.6" thickBot="1">
      <c r="A48" s="86"/>
      <c r="B48" s="91" t="s">
        <v>38</v>
      </c>
      <c r="C48" s="127">
        <v>1052865839479.7833</v>
      </c>
      <c r="D48" s="92"/>
      <c r="E48" s="103"/>
      <c r="F48" s="105"/>
      <c r="G48" s="91" t="s">
        <v>38</v>
      </c>
      <c r="H48" s="573">
        <v>1021672645000</v>
      </c>
    </row>
    <row r="49" spans="1:8" ht="12.6" thickTop="1">
      <c r="A49" s="106"/>
      <c r="B49" s="107"/>
      <c r="C49" s="130"/>
      <c r="D49" s="108"/>
      <c r="F49" s="106"/>
      <c r="G49" s="107"/>
      <c r="H49" s="107"/>
    </row>
  </sheetData>
  <mergeCells count="3">
    <mergeCell ref="A1:H1"/>
    <mergeCell ref="A2:H2"/>
    <mergeCell ref="A3:H3"/>
  </mergeCells>
  <printOptions horizontalCentered="1"/>
  <pageMargins left="0.17" right="0.17" top="0.53" bottom="0.54" header="0.3" footer="0.3"/>
  <pageSetup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00"/>
  <sheetViews>
    <sheetView topLeftCell="A9" workbookViewId="0">
      <selection activeCell="I12" sqref="I12"/>
    </sheetView>
  </sheetViews>
  <sheetFormatPr defaultRowHeight="14.45"/>
  <cols>
    <col min="2" max="2" width="2.28515625" customWidth="1"/>
    <col min="3" max="3" width="20.85546875" customWidth="1"/>
    <col min="4" max="4" width="2.7109375" customWidth="1"/>
    <col min="5" max="5" width="3.28515625" customWidth="1"/>
    <col min="6" max="6" width="26.7109375" customWidth="1"/>
    <col min="7" max="7" width="2.7109375" customWidth="1"/>
    <col min="8" max="8" width="2.42578125" customWidth="1"/>
    <col min="9" max="9" width="19.5703125" customWidth="1"/>
    <col min="10" max="10" width="4.140625" customWidth="1"/>
    <col min="11" max="11" width="2.7109375" customWidth="1"/>
    <col min="12" max="12" width="24.140625" customWidth="1"/>
    <col min="13" max="13" width="3.5703125" customWidth="1"/>
  </cols>
  <sheetData>
    <row r="1" spans="1:13" ht="15" thickBot="1">
      <c r="A1" s="775" t="s">
        <v>0</v>
      </c>
      <c r="B1" s="776"/>
      <c r="C1" s="776"/>
      <c r="D1" s="776"/>
      <c r="E1" s="776"/>
      <c r="F1" s="776"/>
      <c r="G1" s="776"/>
      <c r="H1" s="776"/>
      <c r="I1" s="776"/>
      <c r="J1" s="776"/>
      <c r="K1" s="776"/>
      <c r="L1" s="776"/>
      <c r="M1" s="777"/>
    </row>
    <row r="2" spans="1:13" ht="15.6" thickTop="1" thickBot="1">
      <c r="A2" s="778" t="s">
        <v>552</v>
      </c>
      <c r="B2" s="779"/>
      <c r="C2" s="779"/>
      <c r="D2" s="779"/>
      <c r="E2" s="779"/>
      <c r="F2" s="779"/>
      <c r="G2" s="779"/>
      <c r="H2" s="779"/>
      <c r="I2" s="779"/>
      <c r="J2" s="779"/>
      <c r="K2" s="779"/>
      <c r="L2" s="779"/>
      <c r="M2" s="780"/>
    </row>
    <row r="3" spans="1:13" ht="15" thickTop="1">
      <c r="A3" s="574"/>
      <c r="B3" s="575"/>
      <c r="C3" s="575"/>
      <c r="D3" s="575"/>
      <c r="E3" s="575"/>
      <c r="F3" s="575"/>
      <c r="G3" s="575"/>
      <c r="H3" s="575"/>
      <c r="I3" s="576"/>
      <c r="J3" s="575"/>
      <c r="K3" s="575"/>
      <c r="L3" s="575"/>
      <c r="M3" s="577"/>
    </row>
    <row r="4" spans="1:13">
      <c r="A4" s="781" t="s">
        <v>553</v>
      </c>
      <c r="B4" s="782"/>
      <c r="C4" s="782"/>
      <c r="D4" s="782"/>
      <c r="E4" s="782"/>
      <c r="F4" s="782"/>
      <c r="G4" s="782"/>
      <c r="H4" s="782"/>
      <c r="I4" s="782"/>
      <c r="J4" s="782"/>
      <c r="K4" s="782"/>
      <c r="L4" s="782"/>
      <c r="M4" s="783"/>
    </row>
    <row r="5" spans="1:13">
      <c r="A5" s="781" t="s">
        <v>554</v>
      </c>
      <c r="B5" s="782"/>
      <c r="C5" s="782"/>
      <c r="D5" s="782"/>
      <c r="E5" s="782"/>
      <c r="F5" s="782"/>
      <c r="G5" s="782"/>
      <c r="H5" s="782"/>
      <c r="I5" s="782"/>
      <c r="J5" s="782"/>
      <c r="K5" s="782"/>
      <c r="L5" s="782"/>
      <c r="M5" s="783"/>
    </row>
    <row r="6" spans="1:13">
      <c r="A6" s="578"/>
      <c r="B6" s="579"/>
      <c r="C6" s="579"/>
      <c r="D6" s="579"/>
      <c r="E6" s="579"/>
      <c r="F6" s="579"/>
      <c r="G6" s="579"/>
      <c r="H6" s="579"/>
      <c r="I6" s="580"/>
      <c r="J6" s="579"/>
      <c r="K6" s="579"/>
      <c r="L6" s="579"/>
      <c r="M6" s="581"/>
    </row>
    <row r="7" spans="1:13">
      <c r="A7" s="582"/>
      <c r="B7" s="583"/>
      <c r="C7" s="584"/>
      <c r="D7" s="585"/>
      <c r="E7" s="584"/>
      <c r="F7" s="584"/>
      <c r="G7" s="584"/>
      <c r="H7" s="583"/>
      <c r="I7" s="586"/>
      <c r="J7" s="585"/>
      <c r="K7" s="583"/>
      <c r="L7" s="584"/>
      <c r="M7" s="585"/>
    </row>
    <row r="8" spans="1:13">
      <c r="A8" s="587" t="s">
        <v>6</v>
      </c>
      <c r="B8" s="587"/>
      <c r="C8" s="588" t="s">
        <v>555</v>
      </c>
      <c r="D8" s="589"/>
      <c r="E8" s="588"/>
      <c r="F8" s="588" t="s">
        <v>556</v>
      </c>
      <c r="G8" s="588"/>
      <c r="H8" s="587"/>
      <c r="I8" s="590" t="s">
        <v>557</v>
      </c>
      <c r="J8" s="589"/>
      <c r="K8" s="587"/>
      <c r="L8" s="588" t="s">
        <v>558</v>
      </c>
      <c r="M8" s="589"/>
    </row>
    <row r="9" spans="1:13">
      <c r="A9" s="587" t="s">
        <v>559</v>
      </c>
      <c r="B9" s="587"/>
      <c r="C9" s="588"/>
      <c r="D9" s="589"/>
      <c r="E9" s="588"/>
      <c r="F9" s="588"/>
      <c r="G9" s="588"/>
      <c r="H9" s="587"/>
      <c r="I9" s="590"/>
      <c r="J9" s="589"/>
      <c r="K9" s="587"/>
      <c r="L9" s="588"/>
      <c r="M9" s="589"/>
    </row>
    <row r="10" spans="1:13">
      <c r="A10" s="578"/>
      <c r="B10" s="591"/>
      <c r="C10" s="579"/>
      <c r="D10" s="581"/>
      <c r="E10" s="579"/>
      <c r="F10" s="579"/>
      <c r="G10" s="579"/>
      <c r="H10" s="591"/>
      <c r="I10" s="580"/>
      <c r="J10" s="581"/>
      <c r="K10" s="591"/>
      <c r="L10" s="579"/>
      <c r="M10" s="581"/>
    </row>
    <row r="11" spans="1:13">
      <c r="A11" s="582"/>
      <c r="B11" s="592"/>
      <c r="C11" s="575"/>
      <c r="D11" s="577"/>
      <c r="E11" s="575"/>
      <c r="F11" s="575"/>
      <c r="G11" s="575"/>
      <c r="H11" s="592"/>
      <c r="I11" s="576"/>
      <c r="J11" s="577"/>
      <c r="K11" s="592"/>
      <c r="L11" s="575"/>
      <c r="M11" s="577"/>
    </row>
    <row r="12" spans="1:13" ht="62.45">
      <c r="A12" s="593" t="s">
        <v>114</v>
      </c>
      <c r="B12" s="594"/>
      <c r="C12" s="595" t="s">
        <v>460</v>
      </c>
      <c r="D12" s="596"/>
      <c r="E12" s="595"/>
      <c r="F12" s="595" t="s">
        <v>560</v>
      </c>
      <c r="G12" s="595"/>
      <c r="H12" s="594"/>
      <c r="I12" s="597">
        <v>318255000</v>
      </c>
      <c r="J12" s="596"/>
      <c r="K12" s="594"/>
      <c r="L12" s="595" t="s">
        <v>561</v>
      </c>
      <c r="M12" s="596"/>
    </row>
    <row r="13" spans="1:13">
      <c r="A13" s="598"/>
      <c r="B13" s="594"/>
      <c r="C13" s="595"/>
      <c r="D13" s="596"/>
      <c r="E13" s="595"/>
      <c r="F13" s="595"/>
      <c r="G13" s="595"/>
      <c r="H13" s="594"/>
      <c r="I13" s="597"/>
      <c r="J13" s="596"/>
      <c r="K13" s="594"/>
      <c r="L13" s="595"/>
      <c r="M13" s="596"/>
    </row>
    <row r="14" spans="1:13" ht="48">
      <c r="A14" s="593" t="s">
        <v>562</v>
      </c>
      <c r="B14" s="594"/>
      <c r="C14" s="595" t="s">
        <v>461</v>
      </c>
      <c r="D14" s="596"/>
      <c r="E14" s="595"/>
      <c r="F14" s="599" t="s">
        <v>563</v>
      </c>
      <c r="G14" s="595"/>
      <c r="H14" s="594"/>
      <c r="I14" s="597">
        <v>19780000</v>
      </c>
      <c r="J14" s="596"/>
      <c r="K14" s="594"/>
      <c r="L14" s="599" t="s">
        <v>564</v>
      </c>
      <c r="M14" s="596"/>
    </row>
    <row r="15" spans="1:13">
      <c r="A15" s="598"/>
      <c r="B15" s="594"/>
      <c r="C15" s="595"/>
      <c r="D15" s="596"/>
      <c r="E15" s="595"/>
      <c r="F15" s="595"/>
      <c r="G15" s="595"/>
      <c r="H15" s="594"/>
      <c r="I15" s="597"/>
      <c r="J15" s="596"/>
      <c r="K15" s="594"/>
      <c r="L15" s="595"/>
      <c r="M15" s="596"/>
    </row>
    <row r="16" spans="1:13" ht="24.95">
      <c r="A16" s="593" t="s">
        <v>565</v>
      </c>
      <c r="B16" s="594"/>
      <c r="C16" s="595" t="s">
        <v>462</v>
      </c>
      <c r="D16" s="596"/>
      <c r="E16" s="595"/>
      <c r="F16" s="599" t="s">
        <v>566</v>
      </c>
      <c r="G16" s="595"/>
      <c r="H16" s="594"/>
      <c r="I16" s="597">
        <v>22886000</v>
      </c>
      <c r="J16" s="596"/>
      <c r="K16" s="594"/>
      <c r="L16" s="599" t="s">
        <v>567</v>
      </c>
      <c r="M16" s="596"/>
    </row>
    <row r="17" spans="1:13">
      <c r="A17" s="598"/>
      <c r="B17" s="594"/>
      <c r="C17" s="595"/>
      <c r="D17" s="596"/>
      <c r="E17" s="595"/>
      <c r="F17" s="595"/>
      <c r="G17" s="595"/>
      <c r="H17" s="594"/>
      <c r="I17" s="597"/>
      <c r="J17" s="596"/>
      <c r="K17" s="594"/>
      <c r="L17" s="595"/>
      <c r="M17" s="596"/>
    </row>
    <row r="18" spans="1:13" ht="60">
      <c r="A18" s="593" t="s">
        <v>127</v>
      </c>
      <c r="B18" s="594"/>
      <c r="C18" s="595" t="s">
        <v>463</v>
      </c>
      <c r="D18" s="596"/>
      <c r="E18" s="595"/>
      <c r="F18" s="595" t="s">
        <v>568</v>
      </c>
      <c r="G18" s="595"/>
      <c r="H18" s="594"/>
      <c r="I18" s="597">
        <v>18539000</v>
      </c>
      <c r="J18" s="596"/>
      <c r="K18" s="594"/>
      <c r="L18" s="599" t="s">
        <v>569</v>
      </c>
      <c r="M18" s="596"/>
    </row>
    <row r="19" spans="1:13">
      <c r="A19" s="598"/>
      <c r="B19" s="594"/>
      <c r="C19" s="595"/>
      <c r="D19" s="596"/>
      <c r="E19" s="595"/>
      <c r="F19" s="595"/>
      <c r="G19" s="595"/>
      <c r="H19" s="594"/>
      <c r="I19" s="597"/>
      <c r="J19" s="596"/>
      <c r="K19" s="594"/>
      <c r="L19" s="595"/>
      <c r="M19" s="596"/>
    </row>
    <row r="20" spans="1:13" ht="36">
      <c r="A20" s="593" t="s">
        <v>132</v>
      </c>
      <c r="B20" s="594"/>
      <c r="C20" s="595" t="s">
        <v>464</v>
      </c>
      <c r="D20" s="596"/>
      <c r="E20" s="595"/>
      <c r="F20" s="599" t="s">
        <v>570</v>
      </c>
      <c r="G20" s="595"/>
      <c r="H20" s="594"/>
      <c r="I20" s="597">
        <v>18623000</v>
      </c>
      <c r="J20" s="596"/>
      <c r="K20" s="594"/>
      <c r="L20" s="599" t="s">
        <v>571</v>
      </c>
      <c r="M20" s="596"/>
    </row>
    <row r="21" spans="1:13">
      <c r="A21" s="598"/>
      <c r="B21" s="594"/>
      <c r="C21" s="595"/>
      <c r="D21" s="596"/>
      <c r="E21" s="595"/>
      <c r="F21" s="595"/>
      <c r="G21" s="595"/>
      <c r="H21" s="594"/>
      <c r="I21" s="597"/>
      <c r="J21" s="596"/>
      <c r="K21" s="594"/>
      <c r="L21" s="595"/>
      <c r="M21" s="596"/>
    </row>
    <row r="22" spans="1:13" ht="37.5">
      <c r="A22" s="593" t="s">
        <v>572</v>
      </c>
      <c r="B22" s="594"/>
      <c r="C22" s="595" t="s">
        <v>465</v>
      </c>
      <c r="D22" s="596"/>
      <c r="E22" s="595"/>
      <c r="F22" s="595" t="s">
        <v>573</v>
      </c>
      <c r="G22" s="595"/>
      <c r="H22" s="594"/>
      <c r="I22" s="597">
        <v>18083000</v>
      </c>
      <c r="J22" s="596"/>
      <c r="K22" s="594"/>
      <c r="L22" s="595" t="s">
        <v>574</v>
      </c>
      <c r="M22" s="596"/>
    </row>
    <row r="23" spans="1:13">
      <c r="A23" s="598"/>
      <c r="B23" s="594"/>
      <c r="C23" s="595"/>
      <c r="D23" s="596"/>
      <c r="E23" s="595"/>
      <c r="F23" s="595"/>
      <c r="G23" s="595"/>
      <c r="H23" s="594"/>
      <c r="I23" s="597">
        <v>0</v>
      </c>
      <c r="J23" s="596"/>
      <c r="K23" s="594"/>
      <c r="L23" s="595"/>
      <c r="M23" s="596"/>
    </row>
    <row r="24" spans="1:13" ht="37.5">
      <c r="A24" s="593" t="s">
        <v>575</v>
      </c>
      <c r="B24" s="594"/>
      <c r="C24" s="595" t="s">
        <v>467</v>
      </c>
      <c r="D24" s="596"/>
      <c r="E24" s="595"/>
      <c r="F24" s="595" t="s">
        <v>576</v>
      </c>
      <c r="G24" s="595"/>
      <c r="H24" s="594"/>
      <c r="I24" s="597">
        <v>16490000</v>
      </c>
      <c r="J24" s="596"/>
      <c r="K24" s="594"/>
      <c r="L24" s="595" t="s">
        <v>577</v>
      </c>
      <c r="M24" s="596"/>
    </row>
    <row r="25" spans="1:13">
      <c r="A25" s="598"/>
      <c r="B25" s="594"/>
      <c r="C25" s="595"/>
      <c r="D25" s="596"/>
      <c r="E25" s="595"/>
      <c r="F25" s="595"/>
      <c r="G25" s="595"/>
      <c r="H25" s="594"/>
      <c r="I25" s="597">
        <v>0</v>
      </c>
      <c r="J25" s="596"/>
      <c r="K25" s="594"/>
      <c r="L25" s="595"/>
      <c r="M25" s="596"/>
    </row>
    <row r="26" spans="1:13" ht="36">
      <c r="A26" s="593" t="s">
        <v>578</v>
      </c>
      <c r="B26" s="594"/>
      <c r="C26" s="595" t="s">
        <v>468</v>
      </c>
      <c r="D26" s="596"/>
      <c r="E26" s="595"/>
      <c r="F26" s="600" t="s">
        <v>579</v>
      </c>
      <c r="G26" s="595"/>
      <c r="H26" s="594"/>
      <c r="I26" s="597">
        <v>38600000</v>
      </c>
      <c r="J26" s="596"/>
      <c r="K26" s="594"/>
      <c r="L26" s="600" t="s">
        <v>580</v>
      </c>
      <c r="M26" s="596"/>
    </row>
    <row r="27" spans="1:13">
      <c r="A27" s="598"/>
      <c r="B27" s="594"/>
      <c r="C27" s="595"/>
      <c r="D27" s="596"/>
      <c r="E27" s="595"/>
      <c r="F27" s="595"/>
      <c r="G27" s="595"/>
      <c r="H27" s="594"/>
      <c r="I27" s="597"/>
      <c r="J27" s="596"/>
      <c r="K27" s="594"/>
      <c r="L27" s="595"/>
      <c r="M27" s="596"/>
    </row>
    <row r="28" spans="1:13" ht="24.95">
      <c r="A28" s="598">
        <v>10000</v>
      </c>
      <c r="B28" s="594"/>
      <c r="C28" s="595" t="s">
        <v>469</v>
      </c>
      <c r="D28" s="596"/>
      <c r="E28" s="595"/>
      <c r="F28" s="595" t="s">
        <v>576</v>
      </c>
      <c r="G28" s="595"/>
      <c r="H28" s="594"/>
      <c r="I28" s="597">
        <v>15792000</v>
      </c>
      <c r="J28" s="596"/>
      <c r="K28" s="594"/>
      <c r="L28" s="595" t="s">
        <v>581</v>
      </c>
      <c r="M28" s="596"/>
    </row>
    <row r="29" spans="1:13">
      <c r="A29" s="598"/>
      <c r="B29" s="594"/>
      <c r="C29" s="595"/>
      <c r="D29" s="596"/>
      <c r="E29" s="595"/>
      <c r="F29" s="595"/>
      <c r="G29" s="595"/>
      <c r="H29" s="594"/>
      <c r="I29" s="597"/>
      <c r="J29" s="596"/>
      <c r="K29" s="594"/>
      <c r="L29" s="595"/>
      <c r="M29" s="596"/>
    </row>
    <row r="30" spans="1:13" ht="36">
      <c r="A30" s="598">
        <v>20017</v>
      </c>
      <c r="B30" s="594"/>
      <c r="C30" s="595" t="s">
        <v>582</v>
      </c>
      <c r="D30" s="596"/>
      <c r="E30" s="595"/>
      <c r="F30" s="599" t="s">
        <v>583</v>
      </c>
      <c r="G30" s="595"/>
      <c r="H30" s="594"/>
      <c r="I30" s="597">
        <v>125452029000</v>
      </c>
      <c r="J30" s="596"/>
      <c r="K30" s="594"/>
      <c r="L30" s="595" t="s">
        <v>584</v>
      </c>
      <c r="M30" s="596"/>
    </row>
    <row r="31" spans="1:13">
      <c r="A31" s="598"/>
      <c r="B31" s="594"/>
      <c r="C31" s="595"/>
      <c r="D31" s="596"/>
      <c r="E31" s="595"/>
      <c r="F31" s="595"/>
      <c r="G31" s="595"/>
      <c r="H31" s="594"/>
      <c r="I31" s="597"/>
      <c r="J31" s="596"/>
      <c r="K31" s="594"/>
      <c r="L31" s="595"/>
      <c r="M31" s="596"/>
    </row>
    <row r="32" spans="1:13" ht="48">
      <c r="A32" s="598">
        <v>20018</v>
      </c>
      <c r="B32" s="594"/>
      <c r="C32" s="595" t="s">
        <v>585</v>
      </c>
      <c r="D32" s="596"/>
      <c r="E32" s="595"/>
      <c r="F32" s="599" t="s">
        <v>586</v>
      </c>
      <c r="G32" s="595"/>
      <c r="H32" s="594"/>
      <c r="I32" s="597">
        <v>155157521000</v>
      </c>
      <c r="J32" s="596"/>
      <c r="K32" s="594"/>
      <c r="L32" s="599" t="s">
        <v>587</v>
      </c>
      <c r="M32" s="596"/>
    </row>
    <row r="33" spans="1:13">
      <c r="A33" s="598"/>
      <c r="B33" s="594"/>
      <c r="C33" s="595"/>
      <c r="D33" s="596"/>
      <c r="E33" s="595"/>
      <c r="F33" s="595"/>
      <c r="G33" s="595"/>
      <c r="H33" s="594"/>
      <c r="I33" s="597"/>
      <c r="J33" s="596"/>
      <c r="K33" s="594"/>
      <c r="L33" s="595"/>
      <c r="M33" s="596"/>
    </row>
    <row r="34" spans="1:13" ht="60">
      <c r="A34" s="598">
        <v>20019</v>
      </c>
      <c r="B34" s="594"/>
      <c r="C34" s="595" t="s">
        <v>588</v>
      </c>
      <c r="D34" s="596"/>
      <c r="E34" s="595"/>
      <c r="F34" s="599" t="s">
        <v>589</v>
      </c>
      <c r="G34" s="595"/>
      <c r="H34" s="594"/>
      <c r="I34" s="597">
        <v>9714813000</v>
      </c>
      <c r="J34" s="596"/>
      <c r="K34" s="594"/>
      <c r="L34" s="599" t="s">
        <v>590</v>
      </c>
      <c r="M34" s="596"/>
    </row>
    <row r="35" spans="1:13">
      <c r="A35" s="601"/>
      <c r="B35" s="594"/>
      <c r="C35" s="595"/>
      <c r="D35" s="596"/>
      <c r="E35" s="595"/>
      <c r="F35" s="595"/>
      <c r="G35" s="595"/>
      <c r="H35" s="594"/>
      <c r="I35" s="597"/>
      <c r="J35" s="596"/>
      <c r="K35" s="594"/>
      <c r="L35" s="595"/>
      <c r="M35" s="596"/>
    </row>
    <row r="36" spans="1:13" ht="36">
      <c r="A36" s="601"/>
      <c r="B36" s="594"/>
      <c r="C36" s="595"/>
      <c r="D36" s="596"/>
      <c r="E36" s="595"/>
      <c r="F36" s="599" t="s">
        <v>591</v>
      </c>
      <c r="G36" s="595"/>
      <c r="H36" s="594"/>
      <c r="I36" s="597">
        <v>2420100000</v>
      </c>
      <c r="J36" s="596"/>
      <c r="K36" s="594"/>
      <c r="L36" s="599" t="s">
        <v>592</v>
      </c>
      <c r="M36" s="596"/>
    </row>
    <row r="37" spans="1:13">
      <c r="A37" s="601"/>
      <c r="B37" s="594"/>
      <c r="C37" s="595"/>
      <c r="D37" s="596"/>
      <c r="E37" s="595"/>
      <c r="F37" s="595"/>
      <c r="G37" s="595"/>
      <c r="H37" s="594"/>
      <c r="I37" s="597"/>
      <c r="J37" s="596"/>
      <c r="K37" s="594"/>
      <c r="L37" s="595"/>
      <c r="M37" s="596"/>
    </row>
    <row r="38" spans="1:13" ht="48">
      <c r="A38" s="601"/>
      <c r="B38" s="594"/>
      <c r="C38" s="595"/>
      <c r="D38" s="596"/>
      <c r="E38" s="595"/>
      <c r="F38" s="599" t="s">
        <v>593</v>
      </c>
      <c r="G38" s="595"/>
      <c r="H38" s="594"/>
      <c r="I38" s="597">
        <v>10331825000</v>
      </c>
      <c r="J38" s="596"/>
      <c r="K38" s="594"/>
      <c r="L38" s="599" t="s">
        <v>594</v>
      </c>
      <c r="M38" s="596"/>
    </row>
    <row r="39" spans="1:13">
      <c r="A39" s="601"/>
      <c r="B39" s="594"/>
      <c r="C39" s="595"/>
      <c r="D39" s="596"/>
      <c r="E39" s="595"/>
      <c r="F39" s="599"/>
      <c r="G39" s="595"/>
      <c r="H39" s="594"/>
      <c r="I39" s="597"/>
      <c r="J39" s="596"/>
      <c r="K39" s="594"/>
      <c r="L39" s="599"/>
      <c r="M39" s="596"/>
    </row>
    <row r="40" spans="1:13" ht="62.45">
      <c r="A40" s="601"/>
      <c r="B40" s="594"/>
      <c r="C40" s="595"/>
      <c r="D40" s="596"/>
      <c r="E40" s="595"/>
      <c r="F40" s="595" t="s">
        <v>595</v>
      </c>
      <c r="G40" s="595"/>
      <c r="H40" s="594"/>
      <c r="I40" s="597">
        <v>4588234000</v>
      </c>
      <c r="J40" s="596"/>
      <c r="K40" s="594"/>
      <c r="L40" s="599" t="s">
        <v>596</v>
      </c>
      <c r="M40" s="596"/>
    </row>
    <row r="41" spans="1:13">
      <c r="A41" s="601"/>
      <c r="B41" s="594"/>
      <c r="C41" s="595"/>
      <c r="D41" s="596"/>
      <c r="E41" s="595"/>
      <c r="F41" s="595"/>
      <c r="G41" s="595"/>
      <c r="H41" s="594"/>
      <c r="I41" s="597"/>
      <c r="J41" s="596"/>
      <c r="K41" s="594"/>
      <c r="L41" s="595"/>
      <c r="M41" s="596"/>
    </row>
    <row r="42" spans="1:13" ht="87.6">
      <c r="A42" s="601"/>
      <c r="B42" s="594"/>
      <c r="C42" s="595"/>
      <c r="D42" s="596"/>
      <c r="E42" s="595"/>
      <c r="F42" s="595" t="s">
        <v>597</v>
      </c>
      <c r="G42" s="595"/>
      <c r="H42" s="594"/>
      <c r="I42" s="597">
        <v>255046000</v>
      </c>
      <c r="J42" s="596"/>
      <c r="K42" s="594"/>
      <c r="L42" s="595" t="s">
        <v>598</v>
      </c>
      <c r="M42" s="596"/>
    </row>
    <row r="43" spans="1:13">
      <c r="A43" s="601"/>
      <c r="B43" s="594"/>
      <c r="C43" s="595"/>
      <c r="D43" s="596"/>
      <c r="E43" s="595"/>
      <c r="F43" s="595"/>
      <c r="G43" s="595"/>
      <c r="H43" s="594"/>
      <c r="I43" s="597"/>
      <c r="J43" s="596"/>
      <c r="K43" s="594"/>
      <c r="L43" s="595"/>
      <c r="M43" s="596"/>
    </row>
    <row r="44" spans="1:13">
      <c r="A44" s="601"/>
      <c r="B44" s="594"/>
      <c r="C44" s="595"/>
      <c r="D44" s="596"/>
      <c r="E44" s="595"/>
      <c r="F44" s="595"/>
      <c r="G44" s="595"/>
      <c r="H44" s="594"/>
      <c r="I44" s="597"/>
      <c r="J44" s="596"/>
      <c r="K44" s="594"/>
      <c r="L44" s="595"/>
      <c r="M44" s="596"/>
    </row>
    <row r="45" spans="1:13">
      <c r="A45" s="602"/>
      <c r="B45" s="603"/>
      <c r="C45" s="604"/>
      <c r="D45" s="605"/>
      <c r="E45" s="604"/>
      <c r="F45" s="604"/>
      <c r="G45" s="604"/>
      <c r="H45" s="603"/>
      <c r="I45" s="606"/>
      <c r="J45" s="605"/>
      <c r="K45" s="603"/>
      <c r="L45" s="604"/>
      <c r="M45" s="605"/>
    </row>
    <row r="46" spans="1:13" ht="62.45">
      <c r="A46" s="601"/>
      <c r="B46" s="594"/>
      <c r="C46" s="595"/>
      <c r="D46" s="596"/>
      <c r="E46" s="595"/>
      <c r="F46" s="595" t="s">
        <v>599</v>
      </c>
      <c r="G46" s="595"/>
      <c r="H46" s="594"/>
      <c r="I46" s="597">
        <v>53974000</v>
      </c>
      <c r="J46" s="596"/>
      <c r="K46" s="594"/>
      <c r="L46" s="595" t="s">
        <v>600</v>
      </c>
      <c r="M46" s="596"/>
    </row>
    <row r="47" spans="1:13">
      <c r="A47" s="601"/>
      <c r="B47" s="594"/>
      <c r="C47" s="595"/>
      <c r="D47" s="596"/>
      <c r="E47" s="595"/>
      <c r="F47" s="595"/>
      <c r="G47" s="595"/>
      <c r="H47" s="594"/>
      <c r="I47" s="597"/>
      <c r="J47" s="596"/>
      <c r="K47" s="594"/>
      <c r="L47" s="595"/>
      <c r="M47" s="596"/>
    </row>
    <row r="48" spans="1:13" ht="50.1">
      <c r="A48" s="601"/>
      <c r="B48" s="594"/>
      <c r="C48" s="595"/>
      <c r="D48" s="596"/>
      <c r="E48" s="595"/>
      <c r="F48" s="595" t="s">
        <v>601</v>
      </c>
      <c r="G48" s="595"/>
      <c r="H48" s="594"/>
      <c r="I48" s="597">
        <v>646511000</v>
      </c>
      <c r="J48" s="596"/>
      <c r="K48" s="594"/>
      <c r="L48" s="595" t="s">
        <v>602</v>
      </c>
      <c r="M48" s="596"/>
    </row>
    <row r="49" spans="1:13">
      <c r="A49" s="601"/>
      <c r="B49" s="594"/>
      <c r="C49" s="595"/>
      <c r="D49" s="596"/>
      <c r="E49" s="595"/>
      <c r="F49" s="595"/>
      <c r="G49" s="595"/>
      <c r="H49" s="594"/>
      <c r="I49" s="597"/>
      <c r="J49" s="596"/>
      <c r="K49" s="594"/>
      <c r="L49" s="595"/>
      <c r="M49" s="596"/>
    </row>
    <row r="50" spans="1:13" ht="75">
      <c r="A50" s="601"/>
      <c r="B50" s="594"/>
      <c r="C50" s="595"/>
      <c r="D50" s="596"/>
      <c r="E50" s="595"/>
      <c r="F50" s="595" t="s">
        <v>603</v>
      </c>
      <c r="G50" s="595"/>
      <c r="H50" s="594"/>
      <c r="I50" s="597">
        <v>91189000</v>
      </c>
      <c r="J50" s="596"/>
      <c r="K50" s="594"/>
      <c r="L50" s="595" t="s">
        <v>604</v>
      </c>
      <c r="M50" s="596"/>
    </row>
    <row r="51" spans="1:13">
      <c r="A51" s="598"/>
      <c r="B51" s="594"/>
      <c r="C51" s="595"/>
      <c r="D51" s="596"/>
      <c r="E51" s="595"/>
      <c r="F51" s="595"/>
      <c r="G51" s="595"/>
      <c r="H51" s="594"/>
      <c r="I51" s="597"/>
      <c r="J51" s="596"/>
      <c r="K51" s="594"/>
      <c r="L51" s="595"/>
      <c r="M51" s="596"/>
    </row>
    <row r="52" spans="1:13" ht="50.1">
      <c r="A52" s="598"/>
      <c r="B52" s="594"/>
      <c r="C52" s="595"/>
      <c r="D52" s="596"/>
      <c r="E52" s="595"/>
      <c r="F52" s="595" t="s">
        <v>605</v>
      </c>
      <c r="G52" s="595"/>
      <c r="H52" s="594"/>
      <c r="I52" s="597">
        <v>69488000</v>
      </c>
      <c r="J52" s="596"/>
      <c r="K52" s="594"/>
      <c r="L52" s="595" t="s">
        <v>606</v>
      </c>
      <c r="M52" s="596"/>
    </row>
    <row r="53" spans="1:13">
      <c r="A53" s="598"/>
      <c r="B53" s="594"/>
      <c r="C53" s="595"/>
      <c r="D53" s="596"/>
      <c r="E53" s="595"/>
      <c r="F53" s="595"/>
      <c r="G53" s="595"/>
      <c r="H53" s="594"/>
      <c r="I53" s="597"/>
      <c r="J53" s="596"/>
      <c r="K53" s="594"/>
      <c r="L53" s="595"/>
      <c r="M53" s="596"/>
    </row>
    <row r="54" spans="1:13" ht="37.5">
      <c r="A54" s="598"/>
      <c r="B54" s="594"/>
      <c r="C54" s="595"/>
      <c r="D54" s="596"/>
      <c r="E54" s="595"/>
      <c r="F54" s="595" t="s">
        <v>607</v>
      </c>
      <c r="G54" s="595"/>
      <c r="H54" s="594"/>
      <c r="I54" s="597">
        <v>11000000</v>
      </c>
      <c r="J54" s="596"/>
      <c r="K54" s="594"/>
      <c r="L54" s="595" t="s">
        <v>608</v>
      </c>
      <c r="M54" s="596"/>
    </row>
    <row r="55" spans="1:13">
      <c r="A55" s="598"/>
      <c r="B55" s="594"/>
      <c r="C55" s="595"/>
      <c r="D55" s="596"/>
      <c r="E55" s="595"/>
      <c r="F55" s="595"/>
      <c r="G55" s="595"/>
      <c r="H55" s="594"/>
      <c r="I55" s="597"/>
      <c r="J55" s="596"/>
      <c r="K55" s="594"/>
      <c r="L55" s="595"/>
      <c r="M55" s="596"/>
    </row>
    <row r="56" spans="1:13">
      <c r="A56" s="598"/>
      <c r="B56" s="594"/>
      <c r="C56" s="595"/>
      <c r="D56" s="596"/>
      <c r="E56" s="595"/>
      <c r="F56" s="595" t="s">
        <v>609</v>
      </c>
      <c r="G56" s="595"/>
      <c r="H56" s="594"/>
      <c r="I56" s="597">
        <v>22300000</v>
      </c>
      <c r="J56" s="596"/>
      <c r="K56" s="594"/>
      <c r="L56" s="595" t="s">
        <v>610</v>
      </c>
      <c r="M56" s="596"/>
    </row>
    <row r="57" spans="1:13">
      <c r="A57" s="598"/>
      <c r="B57" s="594"/>
      <c r="C57" s="595"/>
      <c r="D57" s="596"/>
      <c r="E57" s="595"/>
      <c r="F57" s="595"/>
      <c r="G57" s="595"/>
      <c r="H57" s="594"/>
      <c r="I57" s="597"/>
      <c r="J57" s="596"/>
      <c r="K57" s="594"/>
      <c r="L57" s="595"/>
      <c r="M57" s="596"/>
    </row>
    <row r="58" spans="1:13" ht="50.1">
      <c r="A58" s="598"/>
      <c r="B58" s="594"/>
      <c r="C58" s="595"/>
      <c r="D58" s="596"/>
      <c r="E58" s="595"/>
      <c r="F58" s="595" t="s">
        <v>611</v>
      </c>
      <c r="G58" s="595"/>
      <c r="H58" s="594"/>
      <c r="I58" s="597">
        <v>12500000</v>
      </c>
      <c r="J58" s="596"/>
      <c r="K58" s="594"/>
      <c r="L58" s="595" t="s">
        <v>612</v>
      </c>
      <c r="M58" s="596"/>
    </row>
    <row r="59" spans="1:13">
      <c r="A59" s="598"/>
      <c r="B59" s="594"/>
      <c r="C59" s="595"/>
      <c r="D59" s="596"/>
      <c r="E59" s="595"/>
      <c r="F59" s="595"/>
      <c r="G59" s="595"/>
      <c r="H59" s="594"/>
      <c r="I59" s="597"/>
      <c r="J59" s="596"/>
      <c r="K59" s="594"/>
      <c r="L59" s="595"/>
      <c r="M59" s="596"/>
    </row>
    <row r="60" spans="1:13" ht="24.95">
      <c r="A60" s="598"/>
      <c r="B60" s="594"/>
      <c r="C60" s="595"/>
      <c r="D60" s="596"/>
      <c r="E60" s="595"/>
      <c r="F60" s="595" t="s">
        <v>613</v>
      </c>
      <c r="G60" s="595"/>
      <c r="H60" s="594"/>
      <c r="I60" s="597">
        <v>6857000</v>
      </c>
      <c r="J60" s="596"/>
      <c r="K60" s="594"/>
      <c r="L60" s="595" t="s">
        <v>614</v>
      </c>
      <c r="M60" s="596"/>
    </row>
    <row r="61" spans="1:13">
      <c r="A61" s="598"/>
      <c r="B61" s="594"/>
      <c r="C61" s="595"/>
      <c r="D61" s="596"/>
      <c r="E61" s="595"/>
      <c r="F61" s="595"/>
      <c r="G61" s="595"/>
      <c r="H61" s="594"/>
      <c r="I61" s="597"/>
      <c r="J61" s="596"/>
      <c r="K61" s="594"/>
      <c r="L61" s="595"/>
      <c r="M61" s="596"/>
    </row>
    <row r="62" spans="1:13" ht="37.5">
      <c r="A62" s="598"/>
      <c r="B62" s="594"/>
      <c r="C62" s="595"/>
      <c r="D62" s="596"/>
      <c r="E62" s="595"/>
      <c r="F62" s="595" t="s">
        <v>615</v>
      </c>
      <c r="G62" s="595"/>
      <c r="H62" s="594"/>
      <c r="I62" s="597">
        <v>237209000</v>
      </c>
      <c r="J62" s="596"/>
      <c r="K62" s="594"/>
      <c r="L62" s="595" t="s">
        <v>616</v>
      </c>
      <c r="M62" s="596"/>
    </row>
    <row r="63" spans="1:13">
      <c r="A63" s="598"/>
      <c r="B63" s="594"/>
      <c r="C63" s="595"/>
      <c r="D63" s="596"/>
      <c r="E63" s="595"/>
      <c r="F63" s="595"/>
      <c r="G63" s="595"/>
      <c r="H63" s="594"/>
      <c r="I63" s="597"/>
      <c r="J63" s="596"/>
      <c r="K63" s="594"/>
      <c r="L63" s="595"/>
      <c r="M63" s="596"/>
    </row>
    <row r="64" spans="1:13">
      <c r="A64" s="607"/>
      <c r="B64" s="608"/>
      <c r="C64" s="609"/>
      <c r="D64" s="610"/>
      <c r="E64" s="609"/>
      <c r="F64" s="609" t="s">
        <v>617</v>
      </c>
      <c r="G64" s="609"/>
      <c r="H64" s="608"/>
      <c r="I64" s="611">
        <f xml:space="preserve">   +SUM(I34:I62)</f>
        <v>28461046000</v>
      </c>
      <c r="J64" s="610"/>
      <c r="K64" s="608"/>
      <c r="L64" s="609"/>
      <c r="M64" s="610"/>
    </row>
    <row r="65" spans="1:13">
      <c r="A65" s="607"/>
      <c r="B65" s="608"/>
      <c r="C65" s="609"/>
      <c r="D65" s="610"/>
      <c r="E65" s="609"/>
      <c r="F65" s="609"/>
      <c r="G65" s="609"/>
      <c r="H65" s="608"/>
      <c r="I65" s="611"/>
      <c r="J65" s="610"/>
      <c r="K65" s="608"/>
      <c r="L65" s="609"/>
      <c r="M65" s="610"/>
    </row>
    <row r="66" spans="1:13">
      <c r="A66" s="607"/>
      <c r="B66" s="608"/>
      <c r="C66" s="609"/>
      <c r="D66" s="610"/>
      <c r="E66" s="609"/>
      <c r="F66" s="609"/>
      <c r="G66" s="609"/>
      <c r="H66" s="608"/>
      <c r="I66" s="611"/>
      <c r="J66" s="610"/>
      <c r="K66" s="608"/>
      <c r="L66" s="609"/>
      <c r="M66" s="610"/>
    </row>
    <row r="67" spans="1:13" ht="24.95">
      <c r="A67" s="593" t="s">
        <v>618</v>
      </c>
      <c r="B67" s="594"/>
      <c r="C67" s="595" t="s">
        <v>619</v>
      </c>
      <c r="D67" s="596"/>
      <c r="E67" s="595"/>
      <c r="F67" s="595" t="s">
        <v>620</v>
      </c>
      <c r="G67" s="595"/>
      <c r="H67" s="594"/>
      <c r="I67" s="597">
        <v>14600000</v>
      </c>
      <c r="J67" s="596"/>
      <c r="K67" s="594"/>
      <c r="L67" s="595" t="s">
        <v>621</v>
      </c>
      <c r="M67" s="596"/>
    </row>
    <row r="68" spans="1:13">
      <c r="A68" s="593"/>
      <c r="B68" s="594"/>
      <c r="C68" s="595"/>
      <c r="D68" s="596"/>
      <c r="E68" s="595"/>
      <c r="F68" s="595"/>
      <c r="G68" s="595"/>
      <c r="H68" s="594"/>
      <c r="I68" s="597"/>
      <c r="J68" s="596"/>
      <c r="K68" s="594"/>
      <c r="L68" s="595"/>
      <c r="M68" s="596"/>
    </row>
    <row r="69" spans="1:13" ht="37.5">
      <c r="A69" s="598">
        <v>28058</v>
      </c>
      <c r="B69" s="594"/>
      <c r="C69" s="595" t="s">
        <v>622</v>
      </c>
      <c r="D69" s="596"/>
      <c r="E69" s="595"/>
      <c r="F69" s="595" t="s">
        <v>623</v>
      </c>
      <c r="G69" s="595"/>
      <c r="H69" s="594"/>
      <c r="I69" s="597">
        <v>1065924000</v>
      </c>
      <c r="J69" s="596"/>
      <c r="K69" s="594"/>
      <c r="L69" s="595" t="s">
        <v>624</v>
      </c>
      <c r="M69" s="596"/>
    </row>
    <row r="70" spans="1:13">
      <c r="A70" s="598"/>
      <c r="B70" s="594"/>
      <c r="C70" s="595"/>
      <c r="D70" s="596"/>
      <c r="E70" s="595"/>
      <c r="F70" s="595"/>
      <c r="G70" s="595"/>
      <c r="H70" s="594"/>
      <c r="I70" s="597"/>
      <c r="J70" s="596"/>
      <c r="K70" s="594"/>
      <c r="L70" s="595"/>
      <c r="M70" s="596"/>
    </row>
    <row r="71" spans="1:13">
      <c r="A71" s="607"/>
      <c r="B71" s="608"/>
      <c r="C71" s="609"/>
      <c r="D71" s="610"/>
      <c r="E71" s="609"/>
      <c r="F71" s="609" t="s">
        <v>625</v>
      </c>
      <c r="G71" s="609"/>
      <c r="H71" s="608"/>
      <c r="I71" s="611">
        <f>SUM(I12:I32)+I64+SUM(I67:I69)</f>
        <v>310638168000</v>
      </c>
      <c r="J71" s="610"/>
      <c r="K71" s="608"/>
      <c r="L71" s="609"/>
      <c r="M71" s="610"/>
    </row>
    <row r="72" spans="1:13">
      <c r="A72" s="607"/>
      <c r="B72" s="608"/>
      <c r="C72" s="609"/>
      <c r="D72" s="610"/>
      <c r="E72" s="609"/>
      <c r="F72" s="609"/>
      <c r="G72" s="609"/>
      <c r="H72" s="608"/>
      <c r="I72" s="612"/>
      <c r="J72" s="610"/>
      <c r="K72" s="608"/>
      <c r="L72" s="609"/>
      <c r="M72" s="610"/>
    </row>
    <row r="73" spans="1:13">
      <c r="A73" s="607"/>
      <c r="B73" s="608"/>
      <c r="C73" s="609"/>
      <c r="D73" s="610"/>
      <c r="E73" s="609"/>
      <c r="F73" s="609"/>
      <c r="G73" s="609"/>
      <c r="H73" s="608"/>
      <c r="I73" s="612"/>
      <c r="J73" s="610"/>
      <c r="K73" s="608"/>
      <c r="L73" s="609"/>
      <c r="M73" s="610"/>
    </row>
    <row r="74" spans="1:13">
      <c r="A74" s="607"/>
      <c r="B74" s="608"/>
      <c r="C74" s="609"/>
      <c r="D74" s="610"/>
      <c r="E74" s="609"/>
      <c r="F74" s="609"/>
      <c r="G74" s="609"/>
      <c r="H74" s="608"/>
      <c r="I74" s="612"/>
      <c r="J74" s="610"/>
      <c r="K74" s="608"/>
      <c r="L74" s="609"/>
      <c r="M74" s="610"/>
    </row>
    <row r="75" spans="1:13">
      <c r="A75" s="607"/>
      <c r="B75" s="608"/>
      <c r="C75" s="609"/>
      <c r="D75" s="610"/>
      <c r="E75" s="609"/>
      <c r="F75" s="609"/>
      <c r="G75" s="609"/>
      <c r="H75" s="608"/>
      <c r="I75" s="612"/>
      <c r="J75" s="610"/>
      <c r="K75" s="608"/>
      <c r="L75" s="609"/>
      <c r="M75" s="610"/>
    </row>
    <row r="76" spans="1:13">
      <c r="A76" s="607"/>
      <c r="B76" s="608"/>
      <c r="C76" s="609"/>
      <c r="D76" s="610"/>
      <c r="E76" s="609"/>
      <c r="F76" s="609"/>
      <c r="G76" s="609"/>
      <c r="H76" s="608"/>
      <c r="I76" s="612"/>
      <c r="J76" s="610"/>
      <c r="K76" s="608"/>
      <c r="L76" s="609"/>
      <c r="M76" s="610"/>
    </row>
    <row r="77" spans="1:13">
      <c r="A77" s="607"/>
      <c r="B77" s="608"/>
      <c r="C77" s="609"/>
      <c r="D77" s="610"/>
      <c r="E77" s="609"/>
      <c r="F77" s="609"/>
      <c r="G77" s="609"/>
      <c r="H77" s="608"/>
      <c r="I77" s="612"/>
      <c r="J77" s="610"/>
      <c r="K77" s="608"/>
      <c r="L77" s="609"/>
      <c r="M77" s="610"/>
    </row>
    <row r="78" spans="1:13">
      <c r="A78" s="607"/>
      <c r="B78" s="608"/>
      <c r="C78" s="609"/>
      <c r="D78" s="610"/>
      <c r="E78" s="609"/>
      <c r="F78" s="609"/>
      <c r="G78" s="609"/>
      <c r="H78" s="608"/>
      <c r="I78" s="612"/>
      <c r="J78" s="610"/>
      <c r="K78" s="608"/>
      <c r="L78" s="609"/>
      <c r="M78" s="610"/>
    </row>
    <row r="79" spans="1:13">
      <c r="A79" s="607"/>
      <c r="B79" s="608"/>
      <c r="C79" s="609"/>
      <c r="D79" s="610"/>
      <c r="E79" s="609"/>
      <c r="F79" s="609"/>
      <c r="G79" s="609"/>
      <c r="H79" s="608"/>
      <c r="I79" s="612"/>
      <c r="J79" s="610"/>
      <c r="K79" s="608"/>
      <c r="L79" s="609"/>
      <c r="M79" s="610"/>
    </row>
    <row r="80" spans="1:13">
      <c r="A80" s="607"/>
      <c r="B80" s="608"/>
      <c r="C80" s="609"/>
      <c r="D80" s="610"/>
      <c r="E80" s="609"/>
      <c r="F80" s="609"/>
      <c r="G80" s="609"/>
      <c r="H80" s="608"/>
      <c r="I80" s="612"/>
      <c r="J80" s="610"/>
      <c r="K80" s="608"/>
      <c r="L80" s="609"/>
      <c r="M80" s="610"/>
    </row>
    <row r="81" spans="1:13">
      <c r="A81" s="607"/>
      <c r="B81" s="608"/>
      <c r="C81" s="609"/>
      <c r="D81" s="610"/>
      <c r="E81" s="609"/>
      <c r="F81" s="609"/>
      <c r="G81" s="609"/>
      <c r="H81" s="608"/>
      <c r="I81" s="612"/>
      <c r="J81" s="610"/>
      <c r="K81" s="608"/>
      <c r="L81" s="609"/>
      <c r="M81" s="610"/>
    </row>
    <row r="82" spans="1:13">
      <c r="A82" s="607"/>
      <c r="B82" s="608"/>
      <c r="C82" s="609"/>
      <c r="D82" s="610"/>
      <c r="E82" s="609"/>
      <c r="F82" s="609"/>
      <c r="G82" s="609"/>
      <c r="H82" s="608"/>
      <c r="I82" s="612"/>
      <c r="J82" s="610"/>
      <c r="K82" s="608"/>
      <c r="L82" s="609"/>
      <c r="M82" s="610"/>
    </row>
    <row r="83" spans="1:13">
      <c r="A83" s="607"/>
      <c r="B83" s="608"/>
      <c r="C83" s="609"/>
      <c r="D83" s="610"/>
      <c r="E83" s="609"/>
      <c r="F83" s="609"/>
      <c r="G83" s="609"/>
      <c r="H83" s="608"/>
      <c r="I83" s="612"/>
      <c r="J83" s="610"/>
      <c r="K83" s="608"/>
      <c r="L83" s="609"/>
      <c r="M83" s="610"/>
    </row>
    <row r="84" spans="1:13">
      <c r="A84" s="607"/>
      <c r="B84" s="608"/>
      <c r="C84" s="609"/>
      <c r="D84" s="610"/>
      <c r="E84" s="609"/>
      <c r="F84" s="609"/>
      <c r="G84" s="609"/>
      <c r="H84" s="608"/>
      <c r="I84" s="612"/>
      <c r="J84" s="610"/>
      <c r="K84" s="608"/>
      <c r="L84" s="609"/>
      <c r="M84" s="610"/>
    </row>
    <row r="85" spans="1:13">
      <c r="A85" s="607"/>
      <c r="B85" s="608"/>
      <c r="C85" s="609"/>
      <c r="D85" s="610"/>
      <c r="E85" s="609"/>
      <c r="F85" s="609"/>
      <c r="G85" s="609"/>
      <c r="H85" s="608"/>
      <c r="I85" s="612"/>
      <c r="J85" s="610"/>
      <c r="K85" s="608"/>
      <c r="L85" s="609"/>
      <c r="M85" s="610"/>
    </row>
    <row r="86" spans="1:13">
      <c r="A86" s="607"/>
      <c r="B86" s="608"/>
      <c r="C86" s="609"/>
      <c r="D86" s="610"/>
      <c r="E86" s="609"/>
      <c r="F86" s="609"/>
      <c r="G86" s="609"/>
      <c r="H86" s="608"/>
      <c r="I86" s="612"/>
      <c r="J86" s="610"/>
      <c r="K86" s="608"/>
      <c r="L86" s="609"/>
      <c r="M86" s="610"/>
    </row>
    <row r="87" spans="1:13">
      <c r="A87" s="607"/>
      <c r="B87" s="608"/>
      <c r="C87" s="609"/>
      <c r="D87" s="610"/>
      <c r="E87" s="609"/>
      <c r="F87" s="609"/>
      <c r="G87" s="609"/>
      <c r="H87" s="608"/>
      <c r="I87" s="612"/>
      <c r="J87" s="610"/>
      <c r="K87" s="608"/>
      <c r="L87" s="609"/>
      <c r="M87" s="610"/>
    </row>
    <row r="88" spans="1:13">
      <c r="A88" s="607"/>
      <c r="B88" s="608"/>
      <c r="C88" s="609"/>
      <c r="D88" s="610"/>
      <c r="E88" s="609"/>
      <c r="F88" s="609"/>
      <c r="G88" s="609"/>
      <c r="H88" s="608"/>
      <c r="I88" s="612"/>
      <c r="J88" s="610"/>
      <c r="K88" s="608"/>
      <c r="L88" s="609"/>
      <c r="M88" s="610"/>
    </row>
    <row r="89" spans="1:13">
      <c r="A89" s="607"/>
      <c r="B89" s="608"/>
      <c r="C89" s="609"/>
      <c r="D89" s="610"/>
      <c r="E89" s="609"/>
      <c r="F89" s="609"/>
      <c r="G89" s="609"/>
      <c r="H89" s="608"/>
      <c r="I89" s="612"/>
      <c r="J89" s="610"/>
      <c r="K89" s="608"/>
      <c r="L89" s="609"/>
      <c r="M89" s="610"/>
    </row>
    <row r="90" spans="1:13">
      <c r="A90" s="607"/>
      <c r="B90" s="608"/>
      <c r="C90" s="609"/>
      <c r="D90" s="610"/>
      <c r="E90" s="609"/>
      <c r="F90" s="609"/>
      <c r="G90" s="609"/>
      <c r="H90" s="608"/>
      <c r="I90" s="612"/>
      <c r="J90" s="610"/>
      <c r="K90" s="608"/>
      <c r="L90" s="609"/>
      <c r="M90" s="610"/>
    </row>
    <row r="91" spans="1:13">
      <c r="A91" s="607"/>
      <c r="B91" s="608"/>
      <c r="C91" s="609"/>
      <c r="D91" s="610"/>
      <c r="E91" s="609"/>
      <c r="F91" s="609"/>
      <c r="G91" s="609"/>
      <c r="H91" s="608"/>
      <c r="I91" s="612"/>
      <c r="J91" s="610"/>
      <c r="K91" s="608"/>
      <c r="L91" s="609"/>
      <c r="M91" s="610"/>
    </row>
    <row r="92" spans="1:13">
      <c r="A92" s="607"/>
      <c r="B92" s="608"/>
      <c r="C92" s="609"/>
      <c r="D92" s="610"/>
      <c r="E92" s="609"/>
      <c r="F92" s="609"/>
      <c r="G92" s="609"/>
      <c r="H92" s="608"/>
      <c r="I92" s="612"/>
      <c r="J92" s="610"/>
      <c r="K92" s="608"/>
      <c r="L92" s="609"/>
      <c r="M92" s="610"/>
    </row>
    <row r="93" spans="1:13">
      <c r="A93" s="607"/>
      <c r="B93" s="608"/>
      <c r="C93" s="609"/>
      <c r="D93" s="610"/>
      <c r="E93" s="609"/>
      <c r="F93" s="609"/>
      <c r="G93" s="609"/>
      <c r="H93" s="608"/>
      <c r="I93" s="612"/>
      <c r="J93" s="610"/>
      <c r="K93" s="608"/>
      <c r="L93" s="609"/>
      <c r="M93" s="610"/>
    </row>
    <row r="94" spans="1:13">
      <c r="A94" s="607"/>
      <c r="B94" s="608"/>
      <c r="C94" s="609"/>
      <c r="D94" s="610"/>
      <c r="E94" s="609"/>
      <c r="F94" s="609"/>
      <c r="G94" s="609"/>
      <c r="H94" s="608"/>
      <c r="I94" s="612"/>
      <c r="J94" s="610"/>
      <c r="K94" s="608"/>
      <c r="L94" s="609"/>
      <c r="M94" s="610"/>
    </row>
    <row r="95" spans="1:13">
      <c r="A95" s="607"/>
      <c r="B95" s="608"/>
      <c r="C95" s="609"/>
      <c r="D95" s="610"/>
      <c r="E95" s="609"/>
      <c r="F95" s="609"/>
      <c r="G95" s="609"/>
      <c r="H95" s="608"/>
      <c r="I95" s="612"/>
      <c r="J95" s="610"/>
      <c r="K95" s="608"/>
      <c r="L95" s="609"/>
      <c r="M95" s="610"/>
    </row>
    <row r="96" spans="1:13">
      <c r="A96" s="607"/>
      <c r="B96" s="608"/>
      <c r="C96" s="609"/>
      <c r="D96" s="610"/>
      <c r="E96" s="609"/>
      <c r="F96" s="609"/>
      <c r="G96" s="609"/>
      <c r="H96" s="608"/>
      <c r="I96" s="612"/>
      <c r="J96" s="610"/>
      <c r="K96" s="608"/>
      <c r="L96" s="609"/>
      <c r="M96" s="610"/>
    </row>
    <row r="97" spans="1:13">
      <c r="A97" s="607"/>
      <c r="B97" s="608"/>
      <c r="C97" s="609"/>
      <c r="D97" s="610"/>
      <c r="E97" s="609"/>
      <c r="F97" s="609"/>
      <c r="G97" s="609"/>
      <c r="H97" s="608"/>
      <c r="I97" s="612"/>
      <c r="J97" s="610"/>
      <c r="K97" s="608"/>
      <c r="L97" s="609"/>
      <c r="M97" s="610"/>
    </row>
    <row r="98" spans="1:13">
      <c r="A98" s="613"/>
      <c r="B98" s="614"/>
      <c r="C98" s="615"/>
      <c r="D98" s="616"/>
      <c r="E98" s="615"/>
      <c r="F98" s="615"/>
      <c r="G98" s="615"/>
      <c r="H98" s="614"/>
      <c r="I98" s="617"/>
      <c r="J98" s="616"/>
      <c r="K98" s="614"/>
      <c r="L98" s="615"/>
      <c r="M98" s="616"/>
    </row>
    <row r="99" spans="1:13">
      <c r="A99" s="618"/>
      <c r="B99" s="609"/>
      <c r="C99" s="609"/>
      <c r="D99" s="610"/>
      <c r="E99" s="609"/>
      <c r="F99" s="609"/>
      <c r="G99" s="610"/>
      <c r="H99" s="609"/>
      <c r="I99" s="612"/>
      <c r="J99" s="610"/>
      <c r="K99" s="609"/>
      <c r="L99" s="609"/>
      <c r="M99" s="610"/>
    </row>
    <row r="100" spans="1:13">
      <c r="A100" s="618"/>
      <c r="B100" s="609"/>
      <c r="C100" s="609"/>
      <c r="D100" s="610"/>
      <c r="E100" s="609"/>
      <c r="F100" s="609"/>
      <c r="G100" s="610"/>
      <c r="H100" s="609"/>
      <c r="I100" s="612"/>
      <c r="J100" s="610"/>
      <c r="K100" s="609"/>
      <c r="L100" s="609"/>
      <c r="M100" s="610"/>
    </row>
    <row r="101" spans="1:13">
      <c r="A101" s="618"/>
      <c r="B101" s="609"/>
      <c r="C101" s="609"/>
      <c r="D101" s="610"/>
      <c r="E101" s="609"/>
      <c r="F101" s="609"/>
      <c r="G101" s="610"/>
      <c r="H101" s="609"/>
      <c r="I101" s="612"/>
      <c r="J101" s="610"/>
      <c r="K101" s="609"/>
      <c r="L101" s="609"/>
      <c r="M101" s="610"/>
    </row>
    <row r="102" spans="1:13">
      <c r="A102" s="618"/>
      <c r="B102" s="609"/>
      <c r="C102" s="609"/>
      <c r="D102" s="610"/>
      <c r="E102" s="609"/>
      <c r="F102" s="609"/>
      <c r="G102" s="610"/>
      <c r="H102" s="609"/>
      <c r="I102" s="612"/>
      <c r="J102" s="610"/>
      <c r="K102" s="609"/>
      <c r="L102" s="609"/>
      <c r="M102" s="610"/>
    </row>
    <row r="103" spans="1:13">
      <c r="A103" s="618"/>
      <c r="B103" s="609"/>
      <c r="C103" s="609"/>
      <c r="D103" s="610"/>
      <c r="E103" s="609"/>
      <c r="F103" s="609"/>
      <c r="G103" s="610"/>
      <c r="H103" s="609"/>
      <c r="I103" s="612"/>
      <c r="J103" s="610"/>
      <c r="K103" s="609"/>
      <c r="L103" s="609"/>
      <c r="M103" s="610"/>
    </row>
    <row r="104" spans="1:13">
      <c r="A104" s="618"/>
      <c r="B104" s="609"/>
      <c r="C104" s="609"/>
      <c r="D104" s="610"/>
      <c r="E104" s="609"/>
      <c r="F104" s="609"/>
      <c r="G104" s="610"/>
      <c r="H104" s="609"/>
      <c r="I104" s="612"/>
      <c r="J104" s="610"/>
      <c r="K104" s="609"/>
      <c r="L104" s="609"/>
      <c r="M104" s="610"/>
    </row>
    <row r="105" spans="1:13">
      <c r="A105" s="618"/>
      <c r="B105" s="609"/>
      <c r="C105" s="609"/>
      <c r="D105" s="610"/>
      <c r="E105" s="609"/>
      <c r="F105" s="609"/>
      <c r="G105" s="610"/>
      <c r="H105" s="609"/>
      <c r="I105" s="612"/>
      <c r="J105" s="610"/>
      <c r="K105" s="609"/>
      <c r="L105" s="609"/>
      <c r="M105" s="610"/>
    </row>
    <row r="106" spans="1:13">
      <c r="A106" s="619"/>
      <c r="B106" s="620"/>
      <c r="C106" s="620"/>
      <c r="D106" s="621"/>
      <c r="E106" s="620"/>
      <c r="F106" s="620"/>
      <c r="G106" s="621"/>
      <c r="H106" s="620"/>
      <c r="I106" s="622"/>
      <c r="J106" s="621"/>
      <c r="K106" s="620"/>
      <c r="L106" s="620"/>
      <c r="M106" s="621"/>
    </row>
    <row r="107" spans="1:13">
      <c r="A107" s="623"/>
      <c r="B107" s="575"/>
      <c r="C107" s="575"/>
      <c r="D107" s="577"/>
      <c r="E107" s="575"/>
      <c r="F107" s="575"/>
      <c r="G107" s="577"/>
      <c r="H107" s="575"/>
      <c r="I107" s="576"/>
      <c r="J107" s="577"/>
      <c r="K107" s="575"/>
      <c r="L107" s="575"/>
      <c r="M107" s="577"/>
    </row>
    <row r="108" spans="1:13">
      <c r="A108" s="623"/>
      <c r="B108" s="575"/>
      <c r="C108" s="575"/>
      <c r="D108" s="577"/>
      <c r="E108" s="575"/>
      <c r="F108" s="575"/>
      <c r="G108" s="577"/>
      <c r="H108" s="575"/>
      <c r="I108" s="576"/>
      <c r="J108" s="577"/>
      <c r="K108" s="575"/>
      <c r="L108" s="575"/>
      <c r="M108" s="577"/>
    </row>
    <row r="109" spans="1:13">
      <c r="A109" s="623"/>
      <c r="B109" s="575"/>
      <c r="C109" s="575"/>
      <c r="D109" s="577"/>
      <c r="E109" s="575"/>
      <c r="F109" s="575"/>
      <c r="G109" s="577"/>
      <c r="H109" s="575"/>
      <c r="I109" s="576"/>
      <c r="J109" s="577"/>
      <c r="K109" s="575"/>
      <c r="L109" s="575"/>
      <c r="M109" s="577"/>
    </row>
    <row r="110" spans="1:13">
      <c r="A110" s="623"/>
      <c r="B110" s="575"/>
      <c r="C110" s="575"/>
      <c r="D110" s="577"/>
      <c r="E110" s="575"/>
      <c r="F110" s="575"/>
      <c r="G110" s="577"/>
      <c r="H110" s="575"/>
      <c r="I110" s="576"/>
      <c r="J110" s="577"/>
      <c r="K110" s="575"/>
      <c r="L110" s="575"/>
      <c r="M110" s="577"/>
    </row>
    <row r="111" spans="1:13">
      <c r="A111" s="623"/>
      <c r="B111" s="575"/>
      <c r="C111" s="575"/>
      <c r="D111" s="577"/>
      <c r="E111" s="575"/>
      <c r="F111" s="575"/>
      <c r="G111" s="577"/>
      <c r="H111" s="575"/>
      <c r="I111" s="576"/>
      <c r="J111" s="577"/>
      <c r="K111" s="575"/>
      <c r="L111" s="575"/>
      <c r="M111" s="577"/>
    </row>
    <row r="112" spans="1:13">
      <c r="A112" s="623"/>
      <c r="B112" s="575"/>
      <c r="C112" s="575"/>
      <c r="D112" s="577"/>
      <c r="E112" s="575"/>
      <c r="F112" s="575"/>
      <c r="G112" s="577"/>
      <c r="H112" s="575"/>
      <c r="I112" s="576"/>
      <c r="J112" s="577"/>
      <c r="K112" s="575"/>
      <c r="L112" s="575"/>
      <c r="M112" s="577"/>
    </row>
    <row r="113" spans="1:13">
      <c r="A113" s="623"/>
      <c r="B113" s="575"/>
      <c r="C113" s="575"/>
      <c r="D113" s="577"/>
      <c r="E113" s="575"/>
      <c r="F113" s="575"/>
      <c r="G113" s="577"/>
      <c r="H113" s="575"/>
      <c r="I113" s="576"/>
      <c r="J113" s="577"/>
      <c r="K113" s="575"/>
      <c r="L113" s="575"/>
      <c r="M113" s="577"/>
    </row>
    <row r="114" spans="1:13">
      <c r="A114" s="623"/>
      <c r="B114" s="575"/>
      <c r="C114" s="575"/>
      <c r="D114" s="577"/>
      <c r="E114" s="575"/>
      <c r="F114" s="575"/>
      <c r="G114" s="577"/>
      <c r="H114" s="575"/>
      <c r="I114" s="576"/>
      <c r="J114" s="577"/>
      <c r="K114" s="575"/>
      <c r="L114" s="575"/>
      <c r="M114" s="577"/>
    </row>
    <row r="115" spans="1:13">
      <c r="A115" s="623"/>
      <c r="B115" s="575"/>
      <c r="C115" s="575"/>
      <c r="D115" s="577"/>
      <c r="E115" s="575"/>
      <c r="F115" s="575"/>
      <c r="G115" s="577"/>
      <c r="H115" s="575"/>
      <c r="I115" s="576"/>
      <c r="J115" s="577"/>
      <c r="K115" s="575"/>
      <c r="L115" s="575"/>
      <c r="M115" s="577"/>
    </row>
    <row r="116" spans="1:13">
      <c r="A116" s="623"/>
      <c r="B116" s="575"/>
      <c r="C116" s="575"/>
      <c r="D116" s="577"/>
      <c r="E116" s="575"/>
      <c r="F116" s="575"/>
      <c r="G116" s="577"/>
      <c r="H116" s="575"/>
      <c r="I116" s="576"/>
      <c r="J116" s="577"/>
      <c r="K116" s="575"/>
      <c r="L116" s="575"/>
      <c r="M116" s="577"/>
    </row>
    <row r="117" spans="1:13">
      <c r="A117" s="623"/>
      <c r="B117" s="575"/>
      <c r="C117" s="575"/>
      <c r="D117" s="577"/>
      <c r="E117" s="575"/>
      <c r="F117" s="575"/>
      <c r="G117" s="577"/>
      <c r="H117" s="575"/>
      <c r="I117" s="576"/>
      <c r="J117" s="577"/>
      <c r="K117" s="575"/>
      <c r="L117" s="575"/>
      <c r="M117" s="577"/>
    </row>
    <row r="118" spans="1:13">
      <c r="A118" s="623"/>
      <c r="B118" s="575"/>
      <c r="C118" s="575"/>
      <c r="D118" s="577"/>
      <c r="E118" s="575"/>
      <c r="F118" s="575"/>
      <c r="G118" s="577"/>
      <c r="H118" s="575"/>
      <c r="I118" s="576"/>
      <c r="J118" s="577"/>
      <c r="K118" s="575"/>
      <c r="L118" s="575"/>
      <c r="M118" s="577"/>
    </row>
    <row r="119" spans="1:13">
      <c r="A119" s="623"/>
      <c r="B119" s="575"/>
      <c r="C119" s="575"/>
      <c r="D119" s="577"/>
      <c r="E119" s="575"/>
      <c r="F119" s="575"/>
      <c r="G119" s="577"/>
      <c r="H119" s="575"/>
      <c r="I119" s="576"/>
      <c r="J119" s="577"/>
      <c r="K119" s="575"/>
      <c r="L119" s="575"/>
      <c r="M119" s="577"/>
    </row>
    <row r="120" spans="1:13">
      <c r="A120" s="623"/>
      <c r="B120" s="575"/>
      <c r="C120" s="575"/>
      <c r="D120" s="577"/>
      <c r="E120" s="575"/>
      <c r="F120" s="575"/>
      <c r="G120" s="577"/>
      <c r="H120" s="575"/>
      <c r="I120" s="576"/>
      <c r="J120" s="577"/>
      <c r="K120" s="575"/>
      <c r="L120" s="575"/>
      <c r="M120" s="577"/>
    </row>
    <row r="121" spans="1:13">
      <c r="A121" s="623"/>
      <c r="B121" s="575"/>
      <c r="C121" s="575"/>
      <c r="D121" s="577"/>
      <c r="E121" s="575"/>
      <c r="F121" s="575"/>
      <c r="G121" s="577"/>
      <c r="H121" s="575"/>
      <c r="I121" s="576"/>
      <c r="J121" s="577"/>
      <c r="K121" s="575"/>
      <c r="L121" s="575"/>
      <c r="M121" s="577"/>
    </row>
    <row r="122" spans="1:13">
      <c r="A122" s="623"/>
      <c r="B122" s="575"/>
      <c r="C122" s="575"/>
      <c r="D122" s="577"/>
      <c r="E122" s="575"/>
      <c r="F122" s="575"/>
      <c r="G122" s="577"/>
      <c r="H122" s="575"/>
      <c r="I122" s="576"/>
      <c r="J122" s="577"/>
      <c r="K122" s="575"/>
      <c r="L122" s="575"/>
      <c r="M122" s="577"/>
    </row>
    <row r="123" spans="1:13">
      <c r="A123" s="623"/>
      <c r="B123" s="575"/>
      <c r="C123" s="575"/>
      <c r="D123" s="577"/>
      <c r="E123" s="575"/>
      <c r="F123" s="575"/>
      <c r="G123" s="577"/>
      <c r="H123" s="575"/>
      <c r="I123" s="576"/>
      <c r="J123" s="577"/>
      <c r="K123" s="575"/>
      <c r="L123" s="575"/>
      <c r="M123" s="577"/>
    </row>
    <row r="124" spans="1:13">
      <c r="A124" s="623"/>
      <c r="B124" s="575"/>
      <c r="C124" s="575"/>
      <c r="D124" s="577"/>
      <c r="E124" s="575"/>
      <c r="F124" s="575"/>
      <c r="G124" s="577"/>
      <c r="H124" s="575"/>
      <c r="I124" s="576"/>
      <c r="J124" s="577"/>
      <c r="K124" s="575"/>
      <c r="L124" s="575"/>
      <c r="M124" s="577"/>
    </row>
    <row r="125" spans="1:13">
      <c r="A125" s="623"/>
      <c r="B125" s="575"/>
      <c r="C125" s="575"/>
      <c r="D125" s="577"/>
      <c r="E125" s="575"/>
      <c r="F125" s="575"/>
      <c r="G125" s="577"/>
      <c r="H125" s="575"/>
      <c r="I125" s="576"/>
      <c r="J125" s="577"/>
      <c r="K125" s="575"/>
      <c r="L125" s="575"/>
      <c r="M125" s="577"/>
    </row>
    <row r="126" spans="1:13">
      <c r="A126" s="623"/>
      <c r="B126" s="575"/>
      <c r="C126" s="575"/>
      <c r="D126" s="577"/>
      <c r="E126" s="575"/>
      <c r="F126" s="575"/>
      <c r="G126" s="577"/>
      <c r="H126" s="575"/>
      <c r="I126" s="576"/>
      <c r="J126" s="577"/>
      <c r="K126" s="575"/>
      <c r="L126" s="575"/>
      <c r="M126" s="577"/>
    </row>
    <row r="127" spans="1:13">
      <c r="A127" s="623"/>
      <c r="B127" s="575"/>
      <c r="C127" s="575"/>
      <c r="D127" s="577"/>
      <c r="E127" s="575"/>
      <c r="F127" s="575"/>
      <c r="G127" s="577"/>
      <c r="H127" s="575"/>
      <c r="I127" s="576"/>
      <c r="J127" s="577"/>
      <c r="K127" s="575"/>
      <c r="L127" s="575"/>
      <c r="M127" s="577"/>
    </row>
    <row r="128" spans="1:13">
      <c r="A128" s="623"/>
      <c r="B128" s="575"/>
      <c r="C128" s="575"/>
      <c r="D128" s="577"/>
      <c r="E128" s="575"/>
      <c r="F128" s="575"/>
      <c r="G128" s="577"/>
      <c r="H128" s="575"/>
      <c r="I128" s="576"/>
      <c r="J128" s="577"/>
      <c r="K128" s="575"/>
      <c r="L128" s="575"/>
      <c r="M128" s="577"/>
    </row>
    <row r="129" spans="1:13">
      <c r="A129" s="623"/>
      <c r="B129" s="575"/>
      <c r="C129" s="575"/>
      <c r="D129" s="577"/>
      <c r="E129" s="575"/>
      <c r="F129" s="575"/>
      <c r="G129" s="577"/>
      <c r="H129" s="575"/>
      <c r="I129" s="576"/>
      <c r="J129" s="577"/>
      <c r="K129" s="575"/>
      <c r="L129" s="575"/>
      <c r="M129" s="577"/>
    </row>
    <row r="130" spans="1:13">
      <c r="A130" s="623"/>
      <c r="B130" s="575"/>
      <c r="C130" s="575"/>
      <c r="D130" s="577"/>
      <c r="E130" s="575"/>
      <c r="F130" s="575"/>
      <c r="G130" s="577"/>
      <c r="H130" s="575"/>
      <c r="I130" s="576"/>
      <c r="J130" s="577"/>
      <c r="K130" s="575"/>
      <c r="L130" s="575"/>
      <c r="M130" s="577"/>
    </row>
    <row r="131" spans="1:13">
      <c r="A131" s="623"/>
      <c r="B131" s="575"/>
      <c r="C131" s="575"/>
      <c r="D131" s="577"/>
      <c r="E131" s="575"/>
      <c r="F131" s="575"/>
      <c r="G131" s="577"/>
      <c r="H131" s="575"/>
      <c r="I131" s="576"/>
      <c r="J131" s="577"/>
      <c r="K131" s="575"/>
      <c r="L131" s="575"/>
      <c r="M131" s="577"/>
    </row>
    <row r="132" spans="1:13">
      <c r="A132" s="623"/>
      <c r="B132" s="575"/>
      <c r="C132" s="575"/>
      <c r="D132" s="577"/>
      <c r="E132" s="575"/>
      <c r="F132" s="575"/>
      <c r="G132" s="577"/>
      <c r="H132" s="575"/>
      <c r="I132" s="576"/>
      <c r="J132" s="577"/>
      <c r="K132" s="575"/>
      <c r="L132" s="575"/>
      <c r="M132" s="577"/>
    </row>
    <row r="133" spans="1:13">
      <c r="A133" s="623"/>
      <c r="B133" s="575"/>
      <c r="C133" s="575"/>
      <c r="D133" s="577"/>
      <c r="E133" s="575"/>
      <c r="F133" s="575"/>
      <c r="G133" s="577"/>
      <c r="H133" s="575"/>
      <c r="I133" s="576"/>
      <c r="J133" s="577"/>
      <c r="K133" s="575"/>
      <c r="L133" s="575"/>
      <c r="M133" s="577"/>
    </row>
    <row r="134" spans="1:13">
      <c r="A134" s="623"/>
      <c r="B134" s="575"/>
      <c r="C134" s="575"/>
      <c r="D134" s="577"/>
      <c r="E134" s="575"/>
      <c r="F134" s="575"/>
      <c r="G134" s="577"/>
      <c r="H134" s="575"/>
      <c r="I134" s="576"/>
      <c r="J134" s="577"/>
      <c r="K134" s="575"/>
      <c r="L134" s="575"/>
      <c r="M134" s="577"/>
    </row>
    <row r="135" spans="1:13">
      <c r="A135" s="623"/>
      <c r="B135" s="575"/>
      <c r="C135" s="575"/>
      <c r="D135" s="577"/>
      <c r="E135" s="575"/>
      <c r="F135" s="575"/>
      <c r="G135" s="577"/>
      <c r="H135" s="575"/>
      <c r="I135" s="576"/>
      <c r="J135" s="577"/>
      <c r="K135" s="575"/>
      <c r="L135" s="575"/>
      <c r="M135" s="577"/>
    </row>
    <row r="136" spans="1:13">
      <c r="A136" s="623"/>
      <c r="B136" s="575"/>
      <c r="C136" s="575"/>
      <c r="D136" s="577"/>
      <c r="E136" s="575"/>
      <c r="F136" s="575"/>
      <c r="G136" s="577"/>
      <c r="H136" s="575"/>
      <c r="I136" s="576"/>
      <c r="J136" s="577"/>
      <c r="K136" s="575"/>
      <c r="L136" s="575"/>
      <c r="M136" s="577"/>
    </row>
    <row r="137" spans="1:13">
      <c r="A137" s="623"/>
      <c r="B137" s="575"/>
      <c r="C137" s="575"/>
      <c r="D137" s="577"/>
      <c r="E137" s="575"/>
      <c r="F137" s="575"/>
      <c r="G137" s="577"/>
      <c r="H137" s="575"/>
      <c r="I137" s="576"/>
      <c r="J137" s="577"/>
      <c r="K137" s="575"/>
      <c r="L137" s="575"/>
      <c r="M137" s="577"/>
    </row>
    <row r="138" spans="1:13">
      <c r="A138" s="623"/>
      <c r="B138" s="575"/>
      <c r="C138" s="575"/>
      <c r="D138" s="577"/>
      <c r="E138" s="575"/>
      <c r="F138" s="575"/>
      <c r="G138" s="577"/>
      <c r="H138" s="575"/>
      <c r="I138" s="576"/>
      <c r="J138" s="577"/>
      <c r="K138" s="575"/>
      <c r="L138" s="575"/>
      <c r="M138" s="577"/>
    </row>
    <row r="139" spans="1:13">
      <c r="A139" s="623"/>
      <c r="B139" s="575"/>
      <c r="C139" s="575"/>
      <c r="D139" s="577"/>
      <c r="E139" s="575"/>
      <c r="F139" s="575"/>
      <c r="G139" s="577"/>
      <c r="H139" s="575"/>
      <c r="I139" s="576"/>
      <c r="J139" s="577"/>
      <c r="K139" s="575"/>
      <c r="L139" s="575"/>
      <c r="M139" s="577"/>
    </row>
    <row r="140" spans="1:13">
      <c r="A140" s="623"/>
      <c r="B140" s="575"/>
      <c r="C140" s="575"/>
      <c r="D140" s="577"/>
      <c r="E140" s="575"/>
      <c r="F140" s="575"/>
      <c r="G140" s="577"/>
      <c r="H140" s="575"/>
      <c r="I140" s="576"/>
      <c r="J140" s="577"/>
      <c r="K140" s="575"/>
      <c r="L140" s="575"/>
      <c r="M140" s="577"/>
    </row>
    <row r="141" spans="1:13">
      <c r="A141" s="623"/>
      <c r="B141" s="575"/>
      <c r="C141" s="575"/>
      <c r="D141" s="577"/>
      <c r="E141" s="575"/>
      <c r="F141" s="575"/>
      <c r="G141" s="577"/>
      <c r="H141" s="575"/>
      <c r="I141" s="576"/>
      <c r="J141" s="577"/>
      <c r="K141" s="575"/>
      <c r="L141" s="575"/>
      <c r="M141" s="577"/>
    </row>
    <row r="142" spans="1:13">
      <c r="A142" s="623"/>
      <c r="B142" s="575"/>
      <c r="C142" s="575"/>
      <c r="D142" s="577"/>
      <c r="E142" s="575"/>
      <c r="F142" s="575"/>
      <c r="G142" s="577"/>
      <c r="H142" s="575"/>
      <c r="I142" s="576"/>
      <c r="J142" s="577"/>
      <c r="K142" s="575"/>
      <c r="L142" s="575"/>
      <c r="M142" s="577"/>
    </row>
    <row r="143" spans="1:13">
      <c r="A143" s="623"/>
      <c r="B143" s="575"/>
      <c r="C143" s="575"/>
      <c r="D143" s="577"/>
      <c r="E143" s="575"/>
      <c r="F143" s="575"/>
      <c r="G143" s="577"/>
      <c r="H143" s="575"/>
      <c r="I143" s="576"/>
      <c r="J143" s="577"/>
      <c r="K143" s="575"/>
      <c r="L143" s="575"/>
      <c r="M143" s="577"/>
    </row>
    <row r="144" spans="1:13">
      <c r="A144" s="623"/>
      <c r="B144" s="575"/>
      <c r="C144" s="575"/>
      <c r="D144" s="577"/>
      <c r="E144" s="575"/>
      <c r="F144" s="575"/>
      <c r="G144" s="577"/>
      <c r="H144" s="575"/>
      <c r="I144" s="576"/>
      <c r="J144" s="577"/>
      <c r="K144" s="575"/>
      <c r="L144" s="575"/>
      <c r="M144" s="577"/>
    </row>
    <row r="145" spans="1:13">
      <c r="A145" s="623"/>
      <c r="B145" s="575"/>
      <c r="C145" s="575"/>
      <c r="D145" s="577"/>
      <c r="E145" s="575"/>
      <c r="F145" s="575"/>
      <c r="G145" s="577"/>
      <c r="H145" s="575"/>
      <c r="I145" s="576"/>
      <c r="J145" s="577"/>
      <c r="K145" s="575"/>
      <c r="L145" s="575"/>
      <c r="M145" s="577"/>
    </row>
    <row r="146" spans="1:13">
      <c r="A146" s="623"/>
      <c r="B146" s="575"/>
      <c r="C146" s="575"/>
      <c r="D146" s="577"/>
      <c r="E146" s="575"/>
      <c r="F146" s="575"/>
      <c r="G146" s="577"/>
      <c r="H146" s="575"/>
      <c r="I146" s="576"/>
      <c r="J146" s="577"/>
      <c r="K146" s="575"/>
      <c r="L146" s="575"/>
      <c r="M146" s="577"/>
    </row>
    <row r="147" spans="1:13">
      <c r="A147" s="623"/>
      <c r="B147" s="575"/>
      <c r="C147" s="575"/>
      <c r="D147" s="577"/>
      <c r="E147" s="575"/>
      <c r="F147" s="575"/>
      <c r="G147" s="577"/>
      <c r="H147" s="575"/>
      <c r="I147" s="576"/>
      <c r="J147" s="577"/>
      <c r="K147" s="575"/>
      <c r="L147" s="575"/>
      <c r="M147" s="577"/>
    </row>
    <row r="148" spans="1:13">
      <c r="A148" s="623"/>
      <c r="B148" s="575"/>
      <c r="C148" s="575"/>
      <c r="D148" s="577"/>
      <c r="E148" s="575"/>
      <c r="F148" s="575"/>
      <c r="G148" s="577"/>
      <c r="H148" s="575"/>
      <c r="I148" s="576"/>
      <c r="J148" s="577"/>
      <c r="K148" s="575"/>
      <c r="L148" s="575"/>
      <c r="M148" s="577"/>
    </row>
    <row r="149" spans="1:13">
      <c r="A149" s="623"/>
      <c r="B149" s="575"/>
      <c r="C149" s="575"/>
      <c r="D149" s="577"/>
      <c r="E149" s="575"/>
      <c r="F149" s="575"/>
      <c r="G149" s="577"/>
      <c r="H149" s="575"/>
      <c r="I149" s="576"/>
      <c r="J149" s="577"/>
      <c r="K149" s="575"/>
      <c r="L149" s="575"/>
      <c r="M149" s="577"/>
    </row>
    <row r="150" spans="1:13">
      <c r="A150" s="623"/>
      <c r="B150" s="575"/>
      <c r="C150" s="575"/>
      <c r="D150" s="577"/>
      <c r="E150" s="575"/>
      <c r="F150" s="575"/>
      <c r="G150" s="577"/>
      <c r="H150" s="575"/>
      <c r="I150" s="576"/>
      <c r="J150" s="577"/>
      <c r="K150" s="575"/>
      <c r="L150" s="575"/>
      <c r="M150" s="577"/>
    </row>
    <row r="151" spans="1:13">
      <c r="A151" s="623"/>
      <c r="B151" s="575"/>
      <c r="C151" s="575"/>
      <c r="D151" s="577"/>
      <c r="E151" s="575"/>
      <c r="F151" s="575"/>
      <c r="G151" s="577"/>
      <c r="H151" s="575"/>
      <c r="I151" s="576"/>
      <c r="J151" s="577"/>
      <c r="K151" s="575"/>
      <c r="L151" s="575"/>
      <c r="M151" s="577"/>
    </row>
    <row r="152" spans="1:13">
      <c r="A152" s="624"/>
      <c r="B152" s="579"/>
      <c r="C152" s="579"/>
      <c r="D152" s="581"/>
      <c r="E152" s="579"/>
      <c r="F152" s="579"/>
      <c r="G152" s="581"/>
      <c r="H152" s="579"/>
      <c r="I152" s="580"/>
      <c r="J152" s="581"/>
      <c r="K152" s="579"/>
      <c r="L152" s="579"/>
      <c r="M152" s="581"/>
    </row>
    <row r="153" spans="1:13">
      <c r="A153" s="623"/>
      <c r="B153" s="575"/>
      <c r="C153" s="575"/>
      <c r="D153" s="577"/>
      <c r="E153" s="575"/>
      <c r="F153" s="575"/>
      <c r="G153" s="577"/>
      <c r="H153" s="575"/>
      <c r="I153" s="576"/>
      <c r="J153" s="577"/>
      <c r="K153" s="575"/>
      <c r="L153" s="575"/>
      <c r="M153" s="577"/>
    </row>
    <row r="154" spans="1:13">
      <c r="A154" s="623"/>
      <c r="B154" s="575"/>
      <c r="C154" s="575"/>
      <c r="D154" s="577"/>
      <c r="E154" s="575"/>
      <c r="F154" s="575"/>
      <c r="G154" s="577"/>
      <c r="H154" s="575"/>
      <c r="I154" s="576"/>
      <c r="J154" s="577"/>
      <c r="K154" s="575"/>
      <c r="L154" s="575"/>
      <c r="M154" s="577"/>
    </row>
    <row r="155" spans="1:13">
      <c r="A155" s="623"/>
      <c r="B155" s="575"/>
      <c r="C155" s="575"/>
      <c r="D155" s="577"/>
      <c r="E155" s="575"/>
      <c r="F155" s="575"/>
      <c r="G155" s="577"/>
      <c r="H155" s="575"/>
      <c r="I155" s="576"/>
      <c r="J155" s="577"/>
      <c r="K155" s="575"/>
      <c r="L155" s="575"/>
      <c r="M155" s="577"/>
    </row>
    <row r="156" spans="1:13">
      <c r="A156" s="623"/>
      <c r="B156" s="575"/>
      <c r="C156" s="575"/>
      <c r="D156" s="577"/>
      <c r="E156" s="575"/>
      <c r="F156" s="575"/>
      <c r="G156" s="577"/>
      <c r="H156" s="575"/>
      <c r="I156" s="576"/>
      <c r="J156" s="577"/>
      <c r="K156" s="575"/>
      <c r="L156" s="575"/>
      <c r="M156" s="577"/>
    </row>
    <row r="157" spans="1:13">
      <c r="A157" s="623"/>
      <c r="B157" s="575"/>
      <c r="C157" s="575"/>
      <c r="D157" s="577"/>
      <c r="E157" s="575"/>
      <c r="F157" s="575"/>
      <c r="G157" s="577"/>
      <c r="H157" s="575"/>
      <c r="I157" s="576"/>
      <c r="J157" s="577"/>
      <c r="K157" s="575"/>
      <c r="L157" s="575"/>
      <c r="M157" s="577"/>
    </row>
    <row r="158" spans="1:13">
      <c r="A158" s="623"/>
      <c r="B158" s="575"/>
      <c r="C158" s="575"/>
      <c r="D158" s="577"/>
      <c r="E158" s="575"/>
      <c r="F158" s="575"/>
      <c r="G158" s="577"/>
      <c r="H158" s="575"/>
      <c r="I158" s="576"/>
      <c r="J158" s="577"/>
      <c r="K158" s="575"/>
      <c r="L158" s="575"/>
      <c r="M158" s="577"/>
    </row>
    <row r="159" spans="1:13">
      <c r="A159" s="623"/>
      <c r="B159" s="575"/>
      <c r="C159" s="575"/>
      <c r="D159" s="577"/>
      <c r="E159" s="575"/>
      <c r="F159" s="575"/>
      <c r="G159" s="577"/>
      <c r="H159" s="575"/>
      <c r="I159" s="576"/>
      <c r="J159" s="577"/>
      <c r="K159" s="575"/>
      <c r="L159" s="575"/>
      <c r="M159" s="577"/>
    </row>
    <row r="160" spans="1:13">
      <c r="A160" s="623"/>
      <c r="B160" s="575"/>
      <c r="C160" s="575"/>
      <c r="D160" s="577"/>
      <c r="E160" s="575"/>
      <c r="F160" s="575"/>
      <c r="G160" s="577"/>
      <c r="H160" s="575"/>
      <c r="I160" s="576"/>
      <c r="J160" s="577"/>
      <c r="K160" s="575"/>
      <c r="L160" s="575"/>
      <c r="M160" s="577"/>
    </row>
    <row r="161" spans="1:13">
      <c r="A161" s="623"/>
      <c r="B161" s="575"/>
      <c r="C161" s="575"/>
      <c r="D161" s="577"/>
      <c r="E161" s="575"/>
      <c r="F161" s="575"/>
      <c r="G161" s="577"/>
      <c r="H161" s="575"/>
      <c r="I161" s="576"/>
      <c r="J161" s="577"/>
      <c r="K161" s="575"/>
      <c r="L161" s="575"/>
      <c r="M161" s="577"/>
    </row>
    <row r="162" spans="1:13">
      <c r="A162" s="623"/>
      <c r="B162" s="575"/>
      <c r="C162" s="575"/>
      <c r="D162" s="577"/>
      <c r="E162" s="575"/>
      <c r="F162" s="575"/>
      <c r="G162" s="577"/>
      <c r="H162" s="575"/>
      <c r="I162" s="576"/>
      <c r="J162" s="577"/>
      <c r="K162" s="575"/>
      <c r="L162" s="575"/>
      <c r="M162" s="577"/>
    </row>
    <row r="163" spans="1:13">
      <c r="A163" s="623"/>
      <c r="B163" s="575"/>
      <c r="C163" s="575"/>
      <c r="D163" s="577"/>
      <c r="E163" s="575"/>
      <c r="F163" s="575"/>
      <c r="G163" s="577"/>
      <c r="H163" s="575"/>
      <c r="I163" s="576"/>
      <c r="J163" s="577"/>
      <c r="K163" s="575"/>
      <c r="L163" s="575"/>
      <c r="M163" s="577"/>
    </row>
    <row r="164" spans="1:13">
      <c r="A164" s="623"/>
      <c r="B164" s="575"/>
      <c r="C164" s="575"/>
      <c r="D164" s="577"/>
      <c r="E164" s="575"/>
      <c r="F164" s="575"/>
      <c r="G164" s="577"/>
      <c r="H164" s="575"/>
      <c r="I164" s="576"/>
      <c r="J164" s="577"/>
      <c r="K164" s="575"/>
      <c r="L164" s="575"/>
      <c r="M164" s="577"/>
    </row>
    <row r="165" spans="1:13">
      <c r="A165" s="623"/>
      <c r="B165" s="575"/>
      <c r="C165" s="575"/>
      <c r="D165" s="577"/>
      <c r="E165" s="575"/>
      <c r="F165" s="575"/>
      <c r="G165" s="577"/>
      <c r="H165" s="575"/>
      <c r="I165" s="576"/>
      <c r="J165" s="577"/>
      <c r="K165" s="575"/>
      <c r="L165" s="575"/>
      <c r="M165" s="577"/>
    </row>
    <row r="166" spans="1:13">
      <c r="A166" s="623"/>
      <c r="B166" s="575"/>
      <c r="C166" s="575"/>
      <c r="D166" s="577"/>
      <c r="E166" s="575"/>
      <c r="F166" s="575"/>
      <c r="G166" s="577"/>
      <c r="H166" s="575"/>
      <c r="I166" s="576"/>
      <c r="J166" s="577"/>
      <c r="K166" s="575"/>
      <c r="L166" s="575"/>
      <c r="M166" s="577"/>
    </row>
    <row r="167" spans="1:13">
      <c r="A167" s="623"/>
      <c r="B167" s="575"/>
      <c r="C167" s="575"/>
      <c r="D167" s="577"/>
      <c r="E167" s="575"/>
      <c r="F167" s="575"/>
      <c r="G167" s="577"/>
      <c r="H167" s="575"/>
      <c r="I167" s="576"/>
      <c r="J167" s="577"/>
      <c r="K167" s="575"/>
      <c r="L167" s="575"/>
      <c r="M167" s="577"/>
    </row>
    <row r="168" spans="1:13">
      <c r="A168" s="623"/>
      <c r="B168" s="575"/>
      <c r="C168" s="575"/>
      <c r="D168" s="577"/>
      <c r="E168" s="575"/>
      <c r="F168" s="575"/>
      <c r="G168" s="577"/>
      <c r="H168" s="575"/>
      <c r="I168" s="576"/>
      <c r="J168" s="577"/>
      <c r="K168" s="575"/>
      <c r="L168" s="575"/>
      <c r="M168" s="577"/>
    </row>
    <row r="169" spans="1:13">
      <c r="A169" s="623"/>
      <c r="B169" s="575"/>
      <c r="C169" s="575"/>
      <c r="D169" s="577"/>
      <c r="E169" s="575"/>
      <c r="F169" s="575"/>
      <c r="G169" s="577"/>
      <c r="H169" s="575"/>
      <c r="I169" s="576"/>
      <c r="J169" s="577"/>
      <c r="K169" s="575"/>
      <c r="L169" s="575"/>
      <c r="M169" s="577"/>
    </row>
    <row r="170" spans="1:13">
      <c r="A170" s="623"/>
      <c r="B170" s="575"/>
      <c r="C170" s="575"/>
      <c r="D170" s="577"/>
      <c r="E170" s="575"/>
      <c r="F170" s="575"/>
      <c r="G170" s="577"/>
      <c r="H170" s="575"/>
      <c r="I170" s="576"/>
      <c r="J170" s="577"/>
      <c r="K170" s="575"/>
      <c r="L170" s="575"/>
      <c r="M170" s="577"/>
    </row>
    <row r="171" spans="1:13">
      <c r="A171" s="623"/>
      <c r="B171" s="575"/>
      <c r="C171" s="575"/>
      <c r="D171" s="577"/>
      <c r="E171" s="575"/>
      <c r="F171" s="575"/>
      <c r="G171" s="577"/>
      <c r="H171" s="575"/>
      <c r="I171" s="576"/>
      <c r="J171" s="577"/>
      <c r="K171" s="575"/>
      <c r="L171" s="575"/>
      <c r="M171" s="577"/>
    </row>
    <row r="172" spans="1:13">
      <c r="A172" s="623"/>
      <c r="B172" s="575"/>
      <c r="C172" s="575"/>
      <c r="D172" s="577"/>
      <c r="E172" s="575"/>
      <c r="F172" s="575"/>
      <c r="G172" s="577"/>
      <c r="H172" s="575"/>
      <c r="I172" s="576"/>
      <c r="J172" s="577"/>
      <c r="K172" s="575"/>
      <c r="L172" s="575"/>
      <c r="M172" s="577"/>
    </row>
    <row r="173" spans="1:13">
      <c r="A173" s="623"/>
      <c r="B173" s="575"/>
      <c r="C173" s="575"/>
      <c r="D173" s="577"/>
      <c r="E173" s="575"/>
      <c r="F173" s="575"/>
      <c r="G173" s="577"/>
      <c r="H173" s="575"/>
      <c r="I173" s="576"/>
      <c r="J173" s="577"/>
      <c r="K173" s="575"/>
      <c r="L173" s="575"/>
      <c r="M173" s="577"/>
    </row>
    <row r="174" spans="1:13">
      <c r="A174" s="623"/>
      <c r="B174" s="575"/>
      <c r="C174" s="575"/>
      <c r="D174" s="577"/>
      <c r="E174" s="575"/>
      <c r="F174" s="575"/>
      <c r="G174" s="577"/>
      <c r="H174" s="575"/>
      <c r="I174" s="576"/>
      <c r="J174" s="577"/>
      <c r="K174" s="575"/>
      <c r="L174" s="575"/>
      <c r="M174" s="577"/>
    </row>
    <row r="175" spans="1:13">
      <c r="A175" s="623"/>
      <c r="B175" s="575"/>
      <c r="C175" s="575"/>
      <c r="D175" s="577"/>
      <c r="E175" s="575"/>
      <c r="F175" s="575"/>
      <c r="G175" s="577"/>
      <c r="H175" s="575"/>
      <c r="I175" s="576"/>
      <c r="J175" s="577"/>
      <c r="K175" s="575"/>
      <c r="L175" s="575"/>
      <c r="M175" s="577"/>
    </row>
    <row r="176" spans="1:13">
      <c r="A176" s="623"/>
      <c r="B176" s="575"/>
      <c r="C176" s="575"/>
      <c r="D176" s="577"/>
      <c r="E176" s="575"/>
      <c r="F176" s="575"/>
      <c r="G176" s="577"/>
      <c r="H176" s="575"/>
      <c r="I176" s="576"/>
      <c r="J176" s="577"/>
      <c r="K176" s="575"/>
      <c r="L176" s="575"/>
      <c r="M176" s="577"/>
    </row>
    <row r="177" spans="1:13">
      <c r="A177" s="623"/>
      <c r="B177" s="575"/>
      <c r="C177" s="575"/>
      <c r="D177" s="577"/>
      <c r="E177" s="575"/>
      <c r="F177" s="575"/>
      <c r="G177" s="577"/>
      <c r="H177" s="575"/>
      <c r="I177" s="576"/>
      <c r="J177" s="577"/>
      <c r="K177" s="575"/>
      <c r="L177" s="575"/>
      <c r="M177" s="577"/>
    </row>
    <row r="178" spans="1:13">
      <c r="A178" s="623"/>
      <c r="B178" s="575"/>
      <c r="C178" s="575"/>
      <c r="D178" s="577"/>
      <c r="E178" s="575"/>
      <c r="F178" s="575"/>
      <c r="G178" s="577"/>
      <c r="H178" s="575"/>
      <c r="I178" s="576"/>
      <c r="J178" s="577"/>
      <c r="K178" s="575"/>
      <c r="L178" s="575"/>
      <c r="M178" s="577"/>
    </row>
    <row r="179" spans="1:13">
      <c r="A179" s="623"/>
      <c r="B179" s="575"/>
      <c r="C179" s="575"/>
      <c r="D179" s="577"/>
      <c r="E179" s="575"/>
      <c r="F179" s="575"/>
      <c r="G179" s="577"/>
      <c r="H179" s="575"/>
      <c r="I179" s="576"/>
      <c r="J179" s="577"/>
      <c r="K179" s="575"/>
      <c r="L179" s="575"/>
      <c r="M179" s="577"/>
    </row>
    <row r="180" spans="1:13">
      <c r="A180" s="623"/>
      <c r="B180" s="575"/>
      <c r="C180" s="575"/>
      <c r="D180" s="577"/>
      <c r="E180" s="575"/>
      <c r="F180" s="575"/>
      <c r="G180" s="577"/>
      <c r="H180" s="575"/>
      <c r="I180" s="576"/>
      <c r="J180" s="577"/>
      <c r="K180" s="575"/>
      <c r="L180" s="575"/>
      <c r="M180" s="577"/>
    </row>
    <row r="181" spans="1:13">
      <c r="A181" s="623"/>
      <c r="B181" s="575"/>
      <c r="C181" s="575"/>
      <c r="D181" s="577"/>
      <c r="E181" s="575"/>
      <c r="F181" s="575"/>
      <c r="G181" s="577"/>
      <c r="H181" s="575"/>
      <c r="I181" s="576"/>
      <c r="J181" s="577"/>
      <c r="K181" s="575"/>
      <c r="L181" s="575"/>
      <c r="M181" s="577"/>
    </row>
    <row r="182" spans="1:13">
      <c r="A182" s="623"/>
      <c r="B182" s="575"/>
      <c r="C182" s="575"/>
      <c r="D182" s="577"/>
      <c r="E182" s="575"/>
      <c r="F182" s="575"/>
      <c r="G182" s="577"/>
      <c r="H182" s="575"/>
      <c r="I182" s="576"/>
      <c r="J182" s="577"/>
      <c r="K182" s="575"/>
      <c r="L182" s="575"/>
      <c r="M182" s="577"/>
    </row>
    <row r="183" spans="1:13">
      <c r="A183" s="623"/>
      <c r="B183" s="575"/>
      <c r="C183" s="575"/>
      <c r="D183" s="577"/>
      <c r="E183" s="575"/>
      <c r="F183" s="575"/>
      <c r="G183" s="577"/>
      <c r="H183" s="575"/>
      <c r="I183" s="576"/>
      <c r="J183" s="577"/>
      <c r="K183" s="575"/>
      <c r="L183" s="575"/>
      <c r="M183" s="577"/>
    </row>
    <row r="184" spans="1:13">
      <c r="A184" s="623"/>
      <c r="B184" s="575"/>
      <c r="C184" s="575"/>
      <c r="D184" s="577"/>
      <c r="E184" s="575"/>
      <c r="F184" s="575"/>
      <c r="G184" s="577"/>
      <c r="H184" s="575"/>
      <c r="I184" s="576"/>
      <c r="J184" s="577"/>
      <c r="K184" s="575"/>
      <c r="L184" s="575"/>
      <c r="M184" s="577"/>
    </row>
    <row r="185" spans="1:13">
      <c r="A185" s="623"/>
      <c r="B185" s="575"/>
      <c r="C185" s="575"/>
      <c r="D185" s="577"/>
      <c r="E185" s="575"/>
      <c r="F185" s="575"/>
      <c r="G185" s="577"/>
      <c r="H185" s="575"/>
      <c r="I185" s="576"/>
      <c r="J185" s="577"/>
      <c r="K185" s="575"/>
      <c r="L185" s="575"/>
      <c r="M185" s="577"/>
    </row>
    <row r="186" spans="1:13">
      <c r="A186" s="623"/>
      <c r="B186" s="575"/>
      <c r="C186" s="575"/>
      <c r="D186" s="577"/>
      <c r="E186" s="575"/>
      <c r="F186" s="575"/>
      <c r="G186" s="577"/>
      <c r="H186" s="575"/>
      <c r="I186" s="576"/>
      <c r="J186" s="577"/>
      <c r="K186" s="575"/>
      <c r="L186" s="575"/>
      <c r="M186" s="577"/>
    </row>
    <row r="187" spans="1:13">
      <c r="A187" s="623"/>
      <c r="B187" s="575"/>
      <c r="C187" s="575"/>
      <c r="D187" s="577"/>
      <c r="E187" s="575"/>
      <c r="F187" s="575"/>
      <c r="G187" s="577"/>
      <c r="H187" s="575"/>
      <c r="I187" s="576"/>
      <c r="J187" s="577"/>
      <c r="K187" s="575"/>
      <c r="L187" s="575"/>
      <c r="M187" s="577"/>
    </row>
    <row r="188" spans="1:13">
      <c r="A188" s="623"/>
      <c r="B188" s="575"/>
      <c r="C188" s="575"/>
      <c r="D188" s="577"/>
      <c r="E188" s="575"/>
      <c r="F188" s="575"/>
      <c r="G188" s="577"/>
      <c r="H188" s="575"/>
      <c r="I188" s="576"/>
      <c r="J188" s="577"/>
      <c r="K188" s="575"/>
      <c r="L188" s="575"/>
      <c r="M188" s="577"/>
    </row>
    <row r="189" spans="1:13">
      <c r="A189" s="623"/>
      <c r="B189" s="575"/>
      <c r="C189" s="575"/>
      <c r="D189" s="577"/>
      <c r="E189" s="575"/>
      <c r="F189" s="575"/>
      <c r="G189" s="577"/>
      <c r="H189" s="575"/>
      <c r="I189" s="576"/>
      <c r="J189" s="577"/>
      <c r="K189" s="575"/>
      <c r="L189" s="575"/>
      <c r="M189" s="577"/>
    </row>
    <row r="190" spans="1:13">
      <c r="A190" s="623"/>
      <c r="B190" s="575"/>
      <c r="C190" s="575"/>
      <c r="D190" s="577"/>
      <c r="E190" s="575"/>
      <c r="F190" s="575"/>
      <c r="G190" s="577"/>
      <c r="H190" s="575"/>
      <c r="I190" s="576"/>
      <c r="J190" s="577"/>
      <c r="K190" s="575"/>
      <c r="L190" s="575"/>
      <c r="M190" s="577"/>
    </row>
    <row r="191" spans="1:13">
      <c r="A191" s="623"/>
      <c r="B191" s="575"/>
      <c r="C191" s="575"/>
      <c r="D191" s="577"/>
      <c r="E191" s="575"/>
      <c r="F191" s="575"/>
      <c r="G191" s="577"/>
      <c r="H191" s="575"/>
      <c r="I191" s="576"/>
      <c r="J191" s="577"/>
      <c r="K191" s="575"/>
      <c r="L191" s="575"/>
      <c r="M191" s="577"/>
    </row>
    <row r="192" spans="1:13">
      <c r="A192" s="623"/>
      <c r="B192" s="575"/>
      <c r="C192" s="575"/>
      <c r="D192" s="577"/>
      <c r="E192" s="575"/>
      <c r="F192" s="575"/>
      <c r="G192" s="577"/>
      <c r="H192" s="575"/>
      <c r="I192" s="576"/>
      <c r="J192" s="577"/>
      <c r="K192" s="575"/>
      <c r="L192" s="575"/>
      <c r="M192" s="577"/>
    </row>
    <row r="193" spans="1:13">
      <c r="A193" s="623"/>
      <c r="B193" s="575"/>
      <c r="C193" s="575"/>
      <c r="D193" s="577"/>
      <c r="E193" s="575"/>
      <c r="F193" s="575"/>
      <c r="G193" s="577"/>
      <c r="H193" s="575"/>
      <c r="I193" s="576"/>
      <c r="J193" s="577"/>
      <c r="K193" s="575"/>
      <c r="L193" s="575"/>
      <c r="M193" s="577"/>
    </row>
    <row r="194" spans="1:13">
      <c r="A194" s="623"/>
      <c r="B194" s="575"/>
      <c r="C194" s="575"/>
      <c r="D194" s="577"/>
      <c r="E194" s="575"/>
      <c r="F194" s="575"/>
      <c r="G194" s="577"/>
      <c r="H194" s="575"/>
      <c r="I194" s="576"/>
      <c r="J194" s="577"/>
      <c r="K194" s="575"/>
      <c r="L194" s="575"/>
      <c r="M194" s="577"/>
    </row>
    <row r="195" spans="1:13">
      <c r="A195" s="623"/>
      <c r="B195" s="575"/>
      <c r="C195" s="575"/>
      <c r="D195" s="577"/>
      <c r="E195" s="575"/>
      <c r="F195" s="575"/>
      <c r="G195" s="577"/>
      <c r="H195" s="575"/>
      <c r="I195" s="576"/>
      <c r="J195" s="577"/>
      <c r="K195" s="575"/>
      <c r="L195" s="575"/>
      <c r="M195" s="577"/>
    </row>
    <row r="196" spans="1:13">
      <c r="A196" s="623"/>
      <c r="B196" s="575"/>
      <c r="C196" s="575"/>
      <c r="D196" s="577"/>
      <c r="E196" s="575"/>
      <c r="F196" s="575"/>
      <c r="G196" s="577"/>
      <c r="H196" s="575"/>
      <c r="I196" s="576"/>
      <c r="J196" s="577"/>
      <c r="K196" s="575"/>
      <c r="L196" s="575"/>
      <c r="M196" s="577"/>
    </row>
    <row r="197" spans="1:13">
      <c r="A197" s="623"/>
      <c r="B197" s="575"/>
      <c r="C197" s="575"/>
      <c r="D197" s="577"/>
      <c r="E197" s="575"/>
      <c r="F197" s="575"/>
      <c r="G197" s="577"/>
      <c r="H197" s="575"/>
      <c r="I197" s="576"/>
      <c r="J197" s="577"/>
      <c r="K197" s="575"/>
      <c r="L197" s="575"/>
      <c r="M197" s="577"/>
    </row>
    <row r="198" spans="1:13">
      <c r="A198" s="623"/>
      <c r="B198" s="575"/>
      <c r="C198" s="575"/>
      <c r="D198" s="577"/>
      <c r="E198" s="575"/>
      <c r="F198" s="575"/>
      <c r="G198" s="577"/>
      <c r="H198" s="575"/>
      <c r="I198" s="576"/>
      <c r="J198" s="577"/>
      <c r="K198" s="575"/>
      <c r="L198" s="575"/>
      <c r="M198" s="577"/>
    </row>
    <row r="199" spans="1:13">
      <c r="A199" s="623"/>
      <c r="B199" s="575"/>
      <c r="C199" s="575"/>
      <c r="D199" s="577"/>
      <c r="E199" s="575"/>
      <c r="F199" s="575"/>
      <c r="G199" s="577"/>
      <c r="H199" s="575"/>
      <c r="I199" s="576"/>
      <c r="J199" s="577"/>
      <c r="K199" s="575"/>
      <c r="L199" s="575"/>
      <c r="M199" s="577"/>
    </row>
    <row r="200" spans="1:13">
      <c r="A200" s="623"/>
      <c r="B200" s="575"/>
      <c r="C200" s="575"/>
      <c r="D200" s="577"/>
      <c r="E200" s="575"/>
      <c r="F200" s="575"/>
      <c r="G200" s="577"/>
      <c r="H200" s="575"/>
      <c r="I200" s="576"/>
      <c r="J200" s="577"/>
      <c r="K200" s="575"/>
      <c r="L200" s="575"/>
      <c r="M200" s="577"/>
    </row>
  </sheetData>
  <mergeCells count="4">
    <mergeCell ref="A1:M1"/>
    <mergeCell ref="A2:M2"/>
    <mergeCell ref="A4:M4"/>
    <mergeCell ref="A5:M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67"/>
  <sheetViews>
    <sheetView workbookViewId="0">
      <pane ySplit="1" topLeftCell="A20" activePane="bottomLeft" state="frozen"/>
      <selection pane="bottomLeft" activeCell="E170" sqref="E170"/>
    </sheetView>
  </sheetViews>
  <sheetFormatPr defaultRowHeight="15.6"/>
  <cols>
    <col min="1" max="1" width="85.28515625" style="246" customWidth="1"/>
    <col min="2" max="2" width="25" customWidth="1"/>
    <col min="3" max="3" width="24.42578125" customWidth="1"/>
    <col min="4" max="4" width="24.42578125" style="411" hidden="1" customWidth="1"/>
    <col min="5" max="5" width="37.7109375" style="246" customWidth="1"/>
    <col min="6" max="6" width="25.85546875" customWidth="1"/>
    <col min="7" max="7" width="29.28515625" customWidth="1"/>
    <col min="8" max="8" width="28.28515625" style="364" customWidth="1"/>
    <col min="9" max="9" width="16.85546875" bestFit="1" customWidth="1"/>
    <col min="10" max="10" width="15.28515625" bestFit="1" customWidth="1"/>
    <col min="11" max="11" width="21.7109375" customWidth="1"/>
  </cols>
  <sheetData>
    <row r="1" spans="1:8">
      <c r="A1" s="185" t="s">
        <v>5</v>
      </c>
      <c r="B1" s="238" t="s">
        <v>626</v>
      </c>
      <c r="C1" s="117" t="s">
        <v>627</v>
      </c>
      <c r="D1" s="390"/>
      <c r="E1" s="246" t="s">
        <v>628</v>
      </c>
      <c r="F1" s="238" t="s">
        <v>629</v>
      </c>
      <c r="G1" s="319" t="s">
        <v>630</v>
      </c>
    </row>
    <row r="2" spans="1:8">
      <c r="A2" s="152" t="s">
        <v>9</v>
      </c>
      <c r="B2" s="239" t="s">
        <v>5</v>
      </c>
      <c r="C2" s="254" t="s">
        <v>5</v>
      </c>
      <c r="D2" s="391"/>
      <c r="E2" s="349"/>
      <c r="F2" s="239" t="s">
        <v>5</v>
      </c>
      <c r="G2" s="320" t="s">
        <v>5</v>
      </c>
      <c r="H2" s="365" t="s">
        <v>5</v>
      </c>
    </row>
    <row r="3" spans="1:8">
      <c r="A3" s="153" t="s">
        <v>12</v>
      </c>
      <c r="B3" s="239" t="s">
        <v>631</v>
      </c>
      <c r="C3" s="254" t="s">
        <v>631</v>
      </c>
      <c r="D3" s="391"/>
      <c r="E3" s="350" t="s">
        <v>5</v>
      </c>
      <c r="F3" s="239" t="s">
        <v>631</v>
      </c>
      <c r="G3" s="327" t="s">
        <v>631</v>
      </c>
      <c r="H3" s="365" t="s">
        <v>631</v>
      </c>
    </row>
    <row r="4" spans="1:8">
      <c r="A4" s="261" t="s">
        <v>632</v>
      </c>
      <c r="B4" s="240" t="s">
        <v>633</v>
      </c>
      <c r="C4" s="254" t="s">
        <v>633</v>
      </c>
      <c r="D4" s="391"/>
      <c r="E4" s="350" t="s">
        <v>631</v>
      </c>
      <c r="F4" s="240" t="s">
        <v>633</v>
      </c>
      <c r="G4" s="328" t="s">
        <v>633</v>
      </c>
      <c r="H4" s="366" t="s">
        <v>633</v>
      </c>
    </row>
    <row r="5" spans="1:8">
      <c r="A5" s="261" t="s">
        <v>18</v>
      </c>
      <c r="B5" s="241" t="s">
        <v>634</v>
      </c>
      <c r="C5" s="255" t="s">
        <v>635</v>
      </c>
      <c r="D5" s="392"/>
      <c r="E5" s="350" t="s">
        <v>633</v>
      </c>
      <c r="F5" s="241" t="s">
        <v>635</v>
      </c>
      <c r="G5" s="329" t="s">
        <v>634</v>
      </c>
      <c r="H5" s="367" t="s">
        <v>38</v>
      </c>
    </row>
    <row r="6" spans="1:8">
      <c r="A6" s="261" t="s">
        <v>18</v>
      </c>
      <c r="B6" s="242" t="s">
        <v>82</v>
      </c>
      <c r="C6" s="255"/>
      <c r="D6" s="392"/>
      <c r="E6" s="351" t="s">
        <v>635</v>
      </c>
      <c r="F6" s="242"/>
      <c r="G6" s="330" t="s">
        <v>82</v>
      </c>
    </row>
    <row r="7" spans="1:8">
      <c r="A7" s="239" t="s">
        <v>74</v>
      </c>
      <c r="B7" s="242"/>
      <c r="C7" s="255"/>
      <c r="D7" s="392"/>
      <c r="E7" s="351"/>
      <c r="F7" s="243" t="s">
        <v>87</v>
      </c>
      <c r="G7" s="322" t="s">
        <v>87</v>
      </c>
    </row>
    <row r="8" spans="1:8">
      <c r="A8" s="261" t="s">
        <v>18</v>
      </c>
      <c r="B8" s="243"/>
      <c r="C8" s="1" t="s">
        <v>87</v>
      </c>
      <c r="D8" s="393"/>
      <c r="E8" s="349" t="s">
        <v>87</v>
      </c>
      <c r="F8" s="243"/>
      <c r="G8" s="322"/>
    </row>
    <row r="9" spans="1:8" ht="18">
      <c r="A9" s="263" t="s">
        <v>92</v>
      </c>
      <c r="B9" s="244">
        <v>5452665057.6900005</v>
      </c>
      <c r="C9" s="256">
        <v>5297748230.2399998</v>
      </c>
      <c r="D9" s="394"/>
      <c r="E9" s="247">
        <v>4893052585.3500004</v>
      </c>
      <c r="F9" s="247">
        <v>5834021016.7600002</v>
      </c>
      <c r="G9" s="323">
        <v>4968891374.6300011</v>
      </c>
      <c r="H9" s="368">
        <f t="shared" ref="H9:H72" si="0">B9+C9+E9+F9+G9</f>
        <v>26446378264.670002</v>
      </c>
    </row>
    <row r="10" spans="1:8" ht="18">
      <c r="A10" s="263" t="s">
        <v>93</v>
      </c>
      <c r="B10" s="244">
        <v>853347880</v>
      </c>
      <c r="C10" s="256">
        <v>12120873052</v>
      </c>
      <c r="D10" s="394"/>
      <c r="E10" s="248">
        <v>878087143</v>
      </c>
      <c r="F10" s="247">
        <v>1355069916</v>
      </c>
      <c r="G10" s="323">
        <v>9947823869</v>
      </c>
      <c r="H10" s="368">
        <f t="shared" si="0"/>
        <v>25155201860</v>
      </c>
    </row>
    <row r="11" spans="1:8" ht="18">
      <c r="A11" s="263" t="s">
        <v>636</v>
      </c>
      <c r="B11" s="244">
        <v>7231811794.8599997</v>
      </c>
      <c r="C11" s="256">
        <v>7109218929.1400003</v>
      </c>
      <c r="D11" s="394"/>
      <c r="E11" s="245">
        <v>7564299631</v>
      </c>
      <c r="F11" s="247">
        <v>7130006109</v>
      </c>
      <c r="G11" s="323">
        <v>10437243229</v>
      </c>
      <c r="H11" s="368">
        <f t="shared" si="0"/>
        <v>39472579693</v>
      </c>
    </row>
    <row r="12" spans="1:8" ht="18">
      <c r="A12" s="263" t="s">
        <v>96</v>
      </c>
      <c r="B12" s="244">
        <v>2198289309</v>
      </c>
      <c r="C12" s="256">
        <v>2394436960</v>
      </c>
      <c r="D12" s="394"/>
      <c r="E12" s="245">
        <v>2001281826.8299999</v>
      </c>
      <c r="F12" s="247">
        <v>2462572742.52</v>
      </c>
      <c r="G12" s="323">
        <v>3448207143.48</v>
      </c>
      <c r="H12" s="368">
        <f t="shared" si="0"/>
        <v>12504787981.83</v>
      </c>
    </row>
    <row r="13" spans="1:8" ht="18">
      <c r="A13" s="263" t="s">
        <v>22</v>
      </c>
      <c r="B13" s="244">
        <v>365010672.01999998</v>
      </c>
      <c r="C13" s="256">
        <v>334946413.21000004</v>
      </c>
      <c r="D13" s="394"/>
      <c r="E13" s="245">
        <v>387543082.56</v>
      </c>
      <c r="F13" s="247">
        <v>418417397.31</v>
      </c>
      <c r="G13" s="323">
        <v>423678020.96999997</v>
      </c>
      <c r="H13" s="368">
        <f t="shared" si="0"/>
        <v>1929595586.0699999</v>
      </c>
    </row>
    <row r="14" spans="1:8" ht="18">
      <c r="A14" s="263" t="s">
        <v>22</v>
      </c>
      <c r="B14" s="244">
        <v>655828177</v>
      </c>
      <c r="C14" s="256">
        <v>512588442</v>
      </c>
      <c r="D14" s="394"/>
      <c r="E14" s="245">
        <v>630944651</v>
      </c>
      <c r="F14" s="247">
        <v>639927873</v>
      </c>
      <c r="G14" s="323">
        <v>559700107</v>
      </c>
      <c r="H14" s="368">
        <f t="shared" si="0"/>
        <v>2998989250</v>
      </c>
    </row>
    <row r="15" spans="1:8" ht="18">
      <c r="A15" s="263" t="s">
        <v>99</v>
      </c>
      <c r="B15" s="244">
        <v>410773174</v>
      </c>
      <c r="C15" s="256">
        <v>412279273</v>
      </c>
      <c r="D15" s="394"/>
      <c r="E15" s="249">
        <v>405572381</v>
      </c>
      <c r="F15" s="247">
        <v>461070364</v>
      </c>
      <c r="G15" s="323">
        <v>440413567</v>
      </c>
      <c r="H15" s="368">
        <f t="shared" si="0"/>
        <v>2130108759</v>
      </c>
    </row>
    <row r="16" spans="1:8" ht="18">
      <c r="A16" s="263" t="s">
        <v>101</v>
      </c>
      <c r="B16" s="244">
        <v>40000</v>
      </c>
      <c r="C16" s="256">
        <v>160000</v>
      </c>
      <c r="D16" s="394"/>
      <c r="E16" s="245">
        <v>20000</v>
      </c>
      <c r="F16" s="247">
        <v>0</v>
      </c>
      <c r="G16" s="323">
        <v>1500</v>
      </c>
      <c r="H16" s="368">
        <f t="shared" si="0"/>
        <v>221500</v>
      </c>
    </row>
    <row r="17" spans="1:8" ht="18">
      <c r="A17" s="263" t="s">
        <v>103</v>
      </c>
      <c r="B17" s="244">
        <v>46723213</v>
      </c>
      <c r="C17" s="256">
        <v>45088955</v>
      </c>
      <c r="D17" s="394"/>
      <c r="E17" s="245">
        <v>40917703</v>
      </c>
      <c r="F17" s="247">
        <v>43753081</v>
      </c>
      <c r="G17" s="323">
        <v>37697773</v>
      </c>
      <c r="H17" s="368">
        <f t="shared" si="0"/>
        <v>214180725</v>
      </c>
    </row>
    <row r="18" spans="1:8" ht="18">
      <c r="A18" s="263" t="s">
        <v>105</v>
      </c>
      <c r="B18" s="244">
        <v>531729.94999999995</v>
      </c>
      <c r="C18" s="256">
        <v>276926.83</v>
      </c>
      <c r="D18" s="394"/>
      <c r="E18" s="245">
        <v>50861.15</v>
      </c>
      <c r="F18" s="247">
        <v>152660</v>
      </c>
      <c r="G18" s="323">
        <v>0</v>
      </c>
      <c r="H18" s="368">
        <f t="shared" si="0"/>
        <v>1012177.93</v>
      </c>
    </row>
    <row r="19" spans="1:8" ht="18">
      <c r="A19" s="263" t="s">
        <v>107</v>
      </c>
      <c r="B19" s="244">
        <v>306245.90000000002</v>
      </c>
      <c r="C19" s="256">
        <v>405445.52</v>
      </c>
      <c r="D19" s="394"/>
      <c r="E19" s="249">
        <v>101719.25</v>
      </c>
      <c r="F19" s="247">
        <v>0</v>
      </c>
      <c r="G19" s="323">
        <v>0</v>
      </c>
      <c r="H19" s="368">
        <f t="shared" si="0"/>
        <v>813410.67</v>
      </c>
    </row>
    <row r="20" spans="1:8" ht="18">
      <c r="A20" s="263" t="s">
        <v>108</v>
      </c>
      <c r="B20" s="244">
        <v>0</v>
      </c>
      <c r="C20" s="256">
        <v>139500</v>
      </c>
      <c r="D20" s="394"/>
      <c r="E20" s="245">
        <v>11400</v>
      </c>
      <c r="F20" s="247">
        <v>0</v>
      </c>
      <c r="G20" s="323">
        <v>900</v>
      </c>
      <c r="H20" s="368">
        <f t="shared" si="0"/>
        <v>151800</v>
      </c>
    </row>
    <row r="21" spans="1:8" ht="18">
      <c r="A21" s="263" t="s">
        <v>24</v>
      </c>
      <c r="B21" s="244">
        <v>1601470</v>
      </c>
      <c r="C21" s="256">
        <v>1436194</v>
      </c>
      <c r="D21" s="394"/>
      <c r="E21" s="245">
        <v>1776120</v>
      </c>
      <c r="F21" s="247">
        <v>1813924</v>
      </c>
      <c r="G21" s="323">
        <v>1656630</v>
      </c>
      <c r="H21" s="368">
        <f t="shared" si="0"/>
        <v>8284338</v>
      </c>
    </row>
    <row r="22" spans="1:8" ht="18">
      <c r="A22" s="263" t="s">
        <v>25</v>
      </c>
      <c r="B22" s="244">
        <v>1584446248.3699999</v>
      </c>
      <c r="C22" s="256">
        <v>1380089608.6500001</v>
      </c>
      <c r="D22" s="394"/>
      <c r="E22" s="249">
        <v>1150736901.3999999</v>
      </c>
      <c r="F22" s="247">
        <v>1617979502.4499998</v>
      </c>
      <c r="G22" s="323">
        <v>1272813640.25</v>
      </c>
      <c r="H22" s="368">
        <f t="shared" si="0"/>
        <v>7006065901.1199999</v>
      </c>
    </row>
    <row r="23" spans="1:8" ht="18">
      <c r="A23" s="263" t="s">
        <v>109</v>
      </c>
      <c r="B23" s="244">
        <v>838972150.06000006</v>
      </c>
      <c r="C23" s="256">
        <v>681925932.92000008</v>
      </c>
      <c r="D23" s="394"/>
      <c r="E23" s="245">
        <v>591528010.51999998</v>
      </c>
      <c r="F23" s="247">
        <v>690080590.5200001</v>
      </c>
      <c r="G23" s="323">
        <v>637562231.32000005</v>
      </c>
      <c r="H23" s="368">
        <f t="shared" si="0"/>
        <v>3440068915.3400002</v>
      </c>
    </row>
    <row r="24" spans="1:8" ht="18">
      <c r="A24" s="263" t="s">
        <v>26</v>
      </c>
      <c r="B24" s="244">
        <v>728542418</v>
      </c>
      <c r="C24" s="256">
        <v>610288246</v>
      </c>
      <c r="D24" s="394"/>
      <c r="E24" s="245">
        <v>639878782</v>
      </c>
      <c r="F24" s="247">
        <v>741443618</v>
      </c>
      <c r="G24" s="323">
        <v>657503791</v>
      </c>
      <c r="H24" s="368">
        <f t="shared" si="0"/>
        <v>3377656855</v>
      </c>
    </row>
    <row r="25" spans="1:8" ht="18">
      <c r="A25" s="263" t="s">
        <v>27</v>
      </c>
      <c r="B25" s="244">
        <v>3199842451.4299998</v>
      </c>
      <c r="C25" s="256">
        <v>3065235243.5700002</v>
      </c>
      <c r="D25" s="394"/>
      <c r="E25" s="245">
        <v>3117888206</v>
      </c>
      <c r="F25" s="247">
        <v>3114624894</v>
      </c>
      <c r="G25" s="323">
        <v>3582447738</v>
      </c>
      <c r="H25" s="368">
        <f t="shared" si="0"/>
        <v>16080038533</v>
      </c>
    </row>
    <row r="26" spans="1:8" ht="18">
      <c r="A26" s="263" t="s">
        <v>28</v>
      </c>
      <c r="B26" s="244">
        <v>208151248</v>
      </c>
      <c r="C26" s="256">
        <v>222258526</v>
      </c>
      <c r="D26" s="394"/>
      <c r="E26" s="245">
        <v>193747039</v>
      </c>
      <c r="F26" s="247">
        <v>195421483</v>
      </c>
      <c r="G26" s="323">
        <v>277084408</v>
      </c>
      <c r="H26" s="368">
        <f t="shared" si="0"/>
        <v>1096662704</v>
      </c>
    </row>
    <row r="27" spans="1:8" ht="18">
      <c r="A27" s="263" t="s">
        <v>29</v>
      </c>
      <c r="B27" s="244">
        <v>10648556187.27</v>
      </c>
      <c r="C27" s="256">
        <v>8914068642.0200005</v>
      </c>
      <c r="D27" s="394"/>
      <c r="E27" s="249">
        <v>9397903373.2600002</v>
      </c>
      <c r="F27" s="247">
        <v>11170167613.220001</v>
      </c>
      <c r="G27" s="323">
        <v>10622418039.08</v>
      </c>
      <c r="H27" s="368">
        <f t="shared" si="0"/>
        <v>50753113854.850006</v>
      </c>
    </row>
    <row r="28" spans="1:8" ht="18">
      <c r="A28" s="263" t="s">
        <v>637</v>
      </c>
      <c r="B28" s="244">
        <v>13007219877</v>
      </c>
      <c r="C28" s="256">
        <v>12165545978.380001</v>
      </c>
      <c r="D28" s="394"/>
      <c r="E28" s="245">
        <v>5771052295.8099995</v>
      </c>
      <c r="F28" s="247">
        <v>11517564335.280001</v>
      </c>
      <c r="G28" s="323">
        <v>10874385753.890001</v>
      </c>
      <c r="H28" s="368">
        <f t="shared" si="0"/>
        <v>53335768240.360001</v>
      </c>
    </row>
    <row r="29" spans="1:8" ht="18">
      <c r="A29" s="263" t="s">
        <v>30</v>
      </c>
      <c r="B29" s="244">
        <v>8053769846.46</v>
      </c>
      <c r="C29" s="256">
        <v>5433366800.4200001</v>
      </c>
      <c r="D29" s="394"/>
      <c r="E29" s="245">
        <v>4319956965.6099997</v>
      </c>
      <c r="F29" s="247">
        <v>7455625748.3599997</v>
      </c>
      <c r="G29" s="323">
        <v>3637289132.8700004</v>
      </c>
      <c r="H29" s="368">
        <f t="shared" si="0"/>
        <v>28900008493.720001</v>
      </c>
    </row>
    <row r="30" spans="1:8" ht="18">
      <c r="A30" s="263" t="s">
        <v>30</v>
      </c>
      <c r="B30" s="244">
        <v>2641530602</v>
      </c>
      <c r="C30" s="256">
        <v>1364925216</v>
      </c>
      <c r="D30" s="394"/>
      <c r="E30" s="245">
        <v>3577700072</v>
      </c>
      <c r="F30" s="247">
        <v>2002204746</v>
      </c>
      <c r="G30" s="323">
        <v>2249019879</v>
      </c>
      <c r="H30" s="368">
        <f t="shared" si="0"/>
        <v>11835380515</v>
      </c>
    </row>
    <row r="31" spans="1:8" ht="18">
      <c r="A31" s="263" t="s">
        <v>33</v>
      </c>
      <c r="B31" s="244">
        <v>549278267.76999998</v>
      </c>
      <c r="C31" s="256">
        <v>83456130.390000001</v>
      </c>
      <c r="D31" s="394"/>
      <c r="E31" s="249">
        <v>232093552</v>
      </c>
      <c r="F31" s="247">
        <v>510400451.92000008</v>
      </c>
      <c r="G31" s="323">
        <v>273074693</v>
      </c>
      <c r="H31" s="368">
        <f t="shared" si="0"/>
        <v>1648303095.0799999</v>
      </c>
    </row>
    <row r="32" spans="1:8" ht="18">
      <c r="A32" s="263" t="s">
        <v>31</v>
      </c>
      <c r="B32" s="244">
        <v>8906130</v>
      </c>
      <c r="C32" s="256">
        <v>411609217.75</v>
      </c>
      <c r="D32" s="394"/>
      <c r="E32" s="245">
        <v>452250923.53000003</v>
      </c>
      <c r="F32" s="247">
        <v>397231</v>
      </c>
      <c r="G32" s="323">
        <v>360862932.56</v>
      </c>
      <c r="H32" s="368">
        <f t="shared" si="0"/>
        <v>1234026434.8399999</v>
      </c>
    </row>
    <row r="33" spans="1:8" ht="18">
      <c r="A33" s="263" t="s">
        <v>31</v>
      </c>
      <c r="B33" s="244">
        <v>274275286</v>
      </c>
      <c r="C33" s="256">
        <v>268352110</v>
      </c>
      <c r="D33" s="394"/>
      <c r="E33" s="245">
        <v>177269365</v>
      </c>
      <c r="F33" s="247">
        <v>261583926</v>
      </c>
      <c r="G33" s="323">
        <v>834012</v>
      </c>
      <c r="H33" s="368">
        <f t="shared" si="0"/>
        <v>982314699</v>
      </c>
    </row>
    <row r="34" spans="1:8" ht="18">
      <c r="A34" s="263" t="s">
        <v>32</v>
      </c>
      <c r="B34" s="244">
        <v>308898868</v>
      </c>
      <c r="C34" s="256">
        <v>294236363</v>
      </c>
      <c r="D34" s="394"/>
      <c r="E34" s="245">
        <v>248287223</v>
      </c>
      <c r="F34" s="247">
        <v>262230378</v>
      </c>
      <c r="G34" s="323">
        <v>248585453</v>
      </c>
      <c r="H34" s="368">
        <f t="shared" si="0"/>
        <v>1362238285</v>
      </c>
    </row>
    <row r="35" spans="1:8" ht="18">
      <c r="A35" s="263" t="s">
        <v>34</v>
      </c>
      <c r="B35" s="244">
        <v>9006315</v>
      </c>
      <c r="C35" s="256">
        <v>8379128</v>
      </c>
      <c r="D35" s="394"/>
      <c r="E35" s="245">
        <v>10078766</v>
      </c>
      <c r="F35" s="247">
        <v>9610619</v>
      </c>
      <c r="G35" s="323">
        <v>5438873</v>
      </c>
      <c r="H35" s="368">
        <f t="shared" si="0"/>
        <v>42513701</v>
      </c>
    </row>
    <row r="36" spans="1:8" ht="18">
      <c r="A36" s="264" t="s">
        <v>35</v>
      </c>
      <c r="B36" s="244">
        <v>27683391</v>
      </c>
      <c r="C36" s="256">
        <v>0</v>
      </c>
      <c r="D36" s="394"/>
      <c r="E36" s="249">
        <v>0</v>
      </c>
      <c r="F36" s="247">
        <v>31903585</v>
      </c>
      <c r="G36" s="323">
        <v>2011253</v>
      </c>
      <c r="H36" s="368">
        <f t="shared" si="0"/>
        <v>61598229</v>
      </c>
    </row>
    <row r="37" spans="1:8" ht="18">
      <c r="A37" s="263" t="s">
        <v>36</v>
      </c>
      <c r="B37" s="244">
        <v>0</v>
      </c>
      <c r="C37" s="256">
        <v>57656500</v>
      </c>
      <c r="D37" s="394"/>
      <c r="E37" s="245">
        <v>24698244</v>
      </c>
      <c r="F37" s="247">
        <v>21128500</v>
      </c>
      <c r="G37" s="331">
        <v>0</v>
      </c>
      <c r="H37" s="368">
        <f t="shared" si="0"/>
        <v>103483244</v>
      </c>
    </row>
    <row r="38" spans="1:8" ht="18">
      <c r="A38" s="263" t="s">
        <v>37</v>
      </c>
      <c r="B38" s="244">
        <v>33807168</v>
      </c>
      <c r="C38" s="256">
        <v>13094335</v>
      </c>
      <c r="D38" s="394"/>
      <c r="E38" s="245">
        <v>43369173.130000003</v>
      </c>
      <c r="F38" s="247">
        <v>100083345</v>
      </c>
      <c r="G38" s="331">
        <v>3733576</v>
      </c>
      <c r="H38" s="368">
        <f t="shared" si="0"/>
        <v>194087597.13</v>
      </c>
    </row>
    <row r="39" spans="1:8">
      <c r="A39" s="265" t="s">
        <v>112</v>
      </c>
      <c r="B39" s="244">
        <v>59339815177.779999</v>
      </c>
      <c r="C39" s="414">
        <v>63204086299.040009</v>
      </c>
      <c r="D39" s="395"/>
      <c r="E39" s="360">
        <v>46752097996.399994</v>
      </c>
      <c r="F39" s="248">
        <v>58049255650.339996</v>
      </c>
      <c r="G39" s="336">
        <v>64970379520.050003</v>
      </c>
      <c r="H39" s="368">
        <f t="shared" si="0"/>
        <v>292315634643.60999</v>
      </c>
    </row>
    <row r="40" spans="1:8">
      <c r="A40" s="267"/>
      <c r="B40" s="245">
        <v>0</v>
      </c>
      <c r="C40" s="245"/>
      <c r="D40" s="396"/>
      <c r="E40" s="245"/>
      <c r="F40" s="245"/>
      <c r="G40" s="324">
        <v>0</v>
      </c>
      <c r="H40" s="364">
        <f t="shared" si="0"/>
        <v>0</v>
      </c>
    </row>
    <row r="41" spans="1:8">
      <c r="A41" s="266"/>
      <c r="B41" s="245"/>
      <c r="C41" s="245"/>
      <c r="D41" s="396"/>
      <c r="E41" s="245">
        <v>0</v>
      </c>
      <c r="F41" s="245"/>
      <c r="G41" s="331">
        <v>0</v>
      </c>
      <c r="H41" s="368">
        <f t="shared" si="0"/>
        <v>0</v>
      </c>
    </row>
    <row r="42" spans="1:8" ht="17.45">
      <c r="A42" s="267" t="s">
        <v>113</v>
      </c>
      <c r="B42" s="245"/>
      <c r="C42" s="245"/>
      <c r="D42" s="397">
        <v>0</v>
      </c>
      <c r="E42" s="245"/>
      <c r="F42" s="245"/>
      <c r="G42" s="332">
        <v>0</v>
      </c>
      <c r="H42" s="368">
        <f t="shared" si="0"/>
        <v>0</v>
      </c>
    </row>
    <row r="43" spans="1:8">
      <c r="A43" s="268" t="s">
        <v>115</v>
      </c>
      <c r="B43" s="245">
        <v>0</v>
      </c>
      <c r="C43" s="245">
        <v>0</v>
      </c>
      <c r="D43" s="397">
        <v>0</v>
      </c>
      <c r="E43" s="245">
        <v>0</v>
      </c>
      <c r="F43" s="245">
        <v>0</v>
      </c>
      <c r="G43" s="331">
        <v>0</v>
      </c>
      <c r="H43" s="368">
        <f t="shared" si="0"/>
        <v>0</v>
      </c>
    </row>
    <row r="44" spans="1:8" ht="17.45">
      <c r="A44" s="268" t="s">
        <v>638</v>
      </c>
      <c r="B44" s="245">
        <v>0</v>
      </c>
      <c r="C44" s="245">
        <v>0</v>
      </c>
      <c r="D44" s="397">
        <v>0</v>
      </c>
      <c r="E44" s="358">
        <v>0</v>
      </c>
      <c r="F44" s="357">
        <v>0</v>
      </c>
      <c r="G44" s="331">
        <v>0</v>
      </c>
      <c r="H44" s="368">
        <f t="shared" si="0"/>
        <v>0</v>
      </c>
    </row>
    <row r="45" spans="1:8" ht="17.45">
      <c r="A45" s="265" t="s">
        <v>117</v>
      </c>
      <c r="B45" s="249">
        <v>0</v>
      </c>
      <c r="C45" s="249">
        <v>0</v>
      </c>
      <c r="D45" s="398">
        <v>0</v>
      </c>
      <c r="E45" s="249">
        <v>0</v>
      </c>
      <c r="F45" s="249"/>
      <c r="G45" s="331"/>
      <c r="H45" s="368">
        <f t="shared" si="0"/>
        <v>0</v>
      </c>
    </row>
    <row r="46" spans="1:8" ht="17.45">
      <c r="A46" s="267"/>
      <c r="B46" s="245"/>
      <c r="C46" s="245"/>
      <c r="D46" s="397"/>
      <c r="E46" s="359"/>
      <c r="F46" s="245"/>
      <c r="G46" s="332"/>
      <c r="H46" s="368">
        <f t="shared" si="0"/>
        <v>0</v>
      </c>
    </row>
    <row r="47" spans="1:8" ht="17.45">
      <c r="A47" s="267" t="s">
        <v>118</v>
      </c>
      <c r="B47" s="245">
        <v>0</v>
      </c>
      <c r="C47" s="245">
        <v>0</v>
      </c>
      <c r="D47" s="397"/>
      <c r="E47" s="359"/>
      <c r="F47" s="245">
        <v>0</v>
      </c>
      <c r="G47" s="331">
        <v>0</v>
      </c>
      <c r="H47" s="368">
        <f t="shared" si="0"/>
        <v>0</v>
      </c>
    </row>
    <row r="48" spans="1:8" ht="17.45">
      <c r="A48" s="267" t="s">
        <v>639</v>
      </c>
      <c r="B48" s="245">
        <v>0</v>
      </c>
      <c r="C48" s="245">
        <v>0</v>
      </c>
      <c r="D48" s="397">
        <v>0</v>
      </c>
      <c r="E48" s="359"/>
      <c r="F48" s="245">
        <v>0</v>
      </c>
      <c r="G48" s="331">
        <v>0</v>
      </c>
      <c r="H48" s="368">
        <f t="shared" si="0"/>
        <v>0</v>
      </c>
    </row>
    <row r="49" spans="1:8" ht="17.45">
      <c r="A49" s="265" t="s">
        <v>640</v>
      </c>
      <c r="B49" s="249">
        <v>0</v>
      </c>
      <c r="C49" s="249">
        <v>0</v>
      </c>
      <c r="D49" s="399">
        <v>0</v>
      </c>
      <c r="E49" s="359"/>
      <c r="F49" s="249"/>
      <c r="G49" s="331"/>
      <c r="H49" s="368">
        <f t="shared" si="0"/>
        <v>0</v>
      </c>
    </row>
    <row r="50" spans="1:8" ht="17.45">
      <c r="A50" s="267"/>
      <c r="B50" s="245"/>
      <c r="C50" s="245"/>
      <c r="D50" s="397"/>
      <c r="E50" s="245"/>
      <c r="F50" s="245"/>
      <c r="G50" s="332"/>
      <c r="H50" s="368">
        <f t="shared" si="0"/>
        <v>0</v>
      </c>
    </row>
    <row r="51" spans="1:8">
      <c r="A51" s="267" t="s">
        <v>641</v>
      </c>
      <c r="B51" s="245">
        <v>0</v>
      </c>
      <c r="C51" s="245">
        <v>0</v>
      </c>
      <c r="D51" s="397"/>
      <c r="E51" s="245">
        <v>0</v>
      </c>
      <c r="F51" s="245">
        <v>0</v>
      </c>
      <c r="G51" s="331"/>
      <c r="H51" s="368">
        <f t="shared" si="0"/>
        <v>0</v>
      </c>
    </row>
    <row r="52" spans="1:8">
      <c r="A52" s="267" t="s">
        <v>638</v>
      </c>
      <c r="B52" s="245">
        <v>160561.69</v>
      </c>
      <c r="C52" s="245">
        <v>99481.53</v>
      </c>
      <c r="D52" s="397">
        <v>99481.53</v>
      </c>
      <c r="E52" s="245">
        <v>500</v>
      </c>
      <c r="F52" s="245"/>
      <c r="G52" s="335">
        <v>500</v>
      </c>
      <c r="H52" s="368">
        <f>B52+C52+E52+F52+G52</f>
        <v>261043.22</v>
      </c>
    </row>
    <row r="53" spans="1:8" ht="17.45">
      <c r="A53" s="269" t="s">
        <v>642</v>
      </c>
      <c r="B53" s="249">
        <v>160561.69</v>
      </c>
      <c r="C53" s="249">
        <v>99481.53</v>
      </c>
      <c r="D53" s="398">
        <v>99481.53</v>
      </c>
      <c r="E53" s="249">
        <v>500</v>
      </c>
      <c r="F53" s="249">
        <v>0</v>
      </c>
      <c r="G53" s="335">
        <f>G52</f>
        <v>500</v>
      </c>
      <c r="H53" s="369">
        <f t="shared" si="0"/>
        <v>261043.22</v>
      </c>
    </row>
    <row r="54" spans="1:8">
      <c r="A54" s="266"/>
      <c r="B54" s="245">
        <v>0</v>
      </c>
      <c r="C54" s="245">
        <v>0</v>
      </c>
      <c r="D54" s="400"/>
      <c r="E54" s="245">
        <v>0</v>
      </c>
      <c r="F54" s="245">
        <v>0</v>
      </c>
      <c r="G54" s="333"/>
      <c r="H54" s="368">
        <f t="shared" si="0"/>
        <v>0</v>
      </c>
    </row>
    <row r="55" spans="1:8" ht="17.45">
      <c r="A55" s="266"/>
      <c r="B55" s="245">
        <v>0</v>
      </c>
      <c r="C55" s="245">
        <v>0</v>
      </c>
      <c r="D55" s="400"/>
      <c r="E55" s="245"/>
      <c r="F55" s="245">
        <v>0</v>
      </c>
      <c r="G55" s="325"/>
      <c r="H55" s="368">
        <f t="shared" si="0"/>
        <v>0</v>
      </c>
    </row>
    <row r="56" spans="1:8" ht="30.6">
      <c r="A56" s="270" t="s">
        <v>643</v>
      </c>
      <c r="B56" s="245">
        <v>0</v>
      </c>
      <c r="C56" s="245">
        <v>0</v>
      </c>
      <c r="D56" s="396"/>
      <c r="E56" s="245">
        <v>0</v>
      </c>
      <c r="F56" s="245">
        <v>0</v>
      </c>
      <c r="G56" s="324">
        <v>0</v>
      </c>
      <c r="H56" s="368">
        <f t="shared" si="0"/>
        <v>0</v>
      </c>
    </row>
    <row r="57" spans="1:8">
      <c r="A57" s="271" t="s">
        <v>644</v>
      </c>
      <c r="B57" s="245">
        <v>0</v>
      </c>
      <c r="C57" s="245">
        <v>0</v>
      </c>
      <c r="D57" s="396">
        <v>0</v>
      </c>
      <c r="E57" s="245">
        <v>0</v>
      </c>
      <c r="F57" s="245">
        <v>500</v>
      </c>
      <c r="G57" s="324">
        <v>0</v>
      </c>
      <c r="H57" s="368">
        <f t="shared" si="0"/>
        <v>500</v>
      </c>
    </row>
    <row r="58" spans="1:8" ht="17.45">
      <c r="A58" s="265" t="s">
        <v>645</v>
      </c>
      <c r="B58" s="249">
        <v>0</v>
      </c>
      <c r="C58" s="249">
        <v>0</v>
      </c>
      <c r="D58" s="401">
        <v>0</v>
      </c>
      <c r="E58" s="249">
        <v>0</v>
      </c>
      <c r="F58" s="249">
        <v>500</v>
      </c>
      <c r="G58" s="324"/>
      <c r="H58" s="369">
        <f t="shared" si="0"/>
        <v>500</v>
      </c>
    </row>
    <row r="59" spans="1:8" ht="17.45">
      <c r="A59" s="267"/>
      <c r="B59" s="245">
        <v>0</v>
      </c>
      <c r="C59" s="245">
        <v>0</v>
      </c>
      <c r="D59" s="396"/>
      <c r="E59" s="359"/>
      <c r="F59" s="245">
        <v>0</v>
      </c>
      <c r="G59" s="325"/>
      <c r="H59" s="368">
        <f t="shared" si="0"/>
        <v>0</v>
      </c>
    </row>
    <row r="60" spans="1:8">
      <c r="A60" s="267" t="s">
        <v>122</v>
      </c>
      <c r="B60" s="245">
        <v>0</v>
      </c>
      <c r="C60" s="245">
        <v>0</v>
      </c>
      <c r="D60" s="396"/>
      <c r="E60" s="245">
        <v>0</v>
      </c>
      <c r="F60" s="245">
        <v>0</v>
      </c>
      <c r="G60" s="324">
        <v>0</v>
      </c>
      <c r="H60" s="368">
        <f t="shared" si="0"/>
        <v>0</v>
      </c>
    </row>
    <row r="61" spans="1:8">
      <c r="A61" s="267" t="s">
        <v>646</v>
      </c>
      <c r="B61" s="245">
        <v>0</v>
      </c>
      <c r="C61" s="245">
        <v>0</v>
      </c>
      <c r="D61" s="396">
        <v>0</v>
      </c>
      <c r="E61" s="245">
        <v>3387350</v>
      </c>
      <c r="F61" s="245">
        <v>0</v>
      </c>
      <c r="G61" s="324"/>
      <c r="H61" s="368">
        <f t="shared" si="0"/>
        <v>3387350</v>
      </c>
    </row>
    <row r="62" spans="1:8" ht="17.45">
      <c r="A62" s="265" t="s">
        <v>647</v>
      </c>
      <c r="B62" s="249">
        <v>0</v>
      </c>
      <c r="C62" s="249">
        <v>0</v>
      </c>
      <c r="D62" s="401"/>
      <c r="E62" s="360">
        <v>3387350</v>
      </c>
      <c r="F62" s="249">
        <v>0</v>
      </c>
      <c r="G62" s="324"/>
      <c r="H62" s="369">
        <f t="shared" si="0"/>
        <v>3387350</v>
      </c>
    </row>
    <row r="63" spans="1:8">
      <c r="A63" s="267"/>
      <c r="B63" s="245">
        <v>0</v>
      </c>
      <c r="C63" s="245">
        <v>0</v>
      </c>
      <c r="D63" s="396"/>
      <c r="E63" s="245">
        <v>0</v>
      </c>
      <c r="F63" s="357">
        <v>0</v>
      </c>
      <c r="G63" s="324"/>
      <c r="H63" s="368">
        <f t="shared" si="0"/>
        <v>0</v>
      </c>
    </row>
    <row r="64" spans="1:8" ht="17.45">
      <c r="A64" s="267" t="s">
        <v>126</v>
      </c>
      <c r="B64" s="245">
        <v>0</v>
      </c>
      <c r="C64" s="245">
        <v>0</v>
      </c>
      <c r="D64" s="396"/>
      <c r="E64" s="245">
        <v>0</v>
      </c>
      <c r="F64" s="245">
        <v>0</v>
      </c>
      <c r="G64" s="325">
        <v>0</v>
      </c>
      <c r="H64" s="368">
        <f t="shared" si="0"/>
        <v>0</v>
      </c>
    </row>
    <row r="65" spans="1:8">
      <c r="A65" s="268" t="s">
        <v>128</v>
      </c>
      <c r="B65" s="245">
        <v>0</v>
      </c>
      <c r="C65" s="245">
        <v>0</v>
      </c>
      <c r="D65" s="396">
        <v>0</v>
      </c>
      <c r="E65" s="245">
        <v>500</v>
      </c>
      <c r="F65" s="245">
        <v>0</v>
      </c>
      <c r="G65" s="324"/>
      <c r="H65" s="368">
        <f t="shared" si="0"/>
        <v>500</v>
      </c>
    </row>
    <row r="66" spans="1:8">
      <c r="A66" s="268" t="s">
        <v>638</v>
      </c>
      <c r="B66" s="245">
        <v>0</v>
      </c>
      <c r="C66" s="245">
        <v>0</v>
      </c>
      <c r="D66" s="396">
        <v>0</v>
      </c>
      <c r="E66" s="245">
        <v>500</v>
      </c>
      <c r="F66" s="245">
        <v>0</v>
      </c>
      <c r="G66" s="324">
        <v>500</v>
      </c>
      <c r="H66" s="368">
        <f t="shared" si="0"/>
        <v>1000</v>
      </c>
    </row>
    <row r="67" spans="1:8" ht="17.45">
      <c r="A67" s="272" t="s">
        <v>648</v>
      </c>
      <c r="B67" s="249">
        <v>0</v>
      </c>
      <c r="C67" s="249">
        <v>0</v>
      </c>
      <c r="D67" s="401">
        <v>0</v>
      </c>
      <c r="E67" s="249">
        <v>0</v>
      </c>
      <c r="F67" s="249">
        <v>0</v>
      </c>
      <c r="G67" s="337">
        <f>G66</f>
        <v>500</v>
      </c>
      <c r="H67" s="369">
        <f t="shared" si="0"/>
        <v>500</v>
      </c>
    </row>
    <row r="68" spans="1:8">
      <c r="A68" s="268"/>
      <c r="B68" s="245">
        <v>0</v>
      </c>
      <c r="C68" s="245">
        <v>0</v>
      </c>
      <c r="D68" s="396"/>
      <c r="E68" s="245">
        <v>0</v>
      </c>
      <c r="F68" s="245">
        <v>0</v>
      </c>
      <c r="G68" s="324"/>
      <c r="H68" s="368">
        <f t="shared" si="0"/>
        <v>0</v>
      </c>
    </row>
    <row r="69" spans="1:8" ht="17.45">
      <c r="A69" s="267" t="s">
        <v>649</v>
      </c>
      <c r="B69" s="245">
        <v>0</v>
      </c>
      <c r="C69" s="245">
        <v>0</v>
      </c>
      <c r="D69" s="396"/>
      <c r="E69" s="245">
        <v>0</v>
      </c>
      <c r="F69" s="245">
        <v>0</v>
      </c>
      <c r="G69" s="325">
        <v>0</v>
      </c>
      <c r="H69" s="368">
        <f t="shared" si="0"/>
        <v>0</v>
      </c>
    </row>
    <row r="70" spans="1:8">
      <c r="A70" s="273" t="s">
        <v>115</v>
      </c>
      <c r="B70" s="245">
        <v>0</v>
      </c>
      <c r="C70" s="245">
        <v>0</v>
      </c>
      <c r="D70" s="396">
        <v>0</v>
      </c>
      <c r="E70" s="245">
        <v>0</v>
      </c>
      <c r="F70" s="245">
        <v>0</v>
      </c>
      <c r="G70" s="324">
        <v>0</v>
      </c>
      <c r="H70" s="368">
        <f t="shared" si="0"/>
        <v>0</v>
      </c>
    </row>
    <row r="71" spans="1:8">
      <c r="A71" s="268" t="s">
        <v>638</v>
      </c>
      <c r="B71" s="245">
        <v>5272</v>
      </c>
      <c r="C71" s="245">
        <v>280</v>
      </c>
      <c r="D71" s="396">
        <v>280</v>
      </c>
      <c r="E71" s="245">
        <v>0</v>
      </c>
      <c r="F71" s="245">
        <v>0</v>
      </c>
      <c r="G71" s="324">
        <v>0</v>
      </c>
      <c r="H71" s="368">
        <f t="shared" si="0"/>
        <v>5552</v>
      </c>
    </row>
    <row r="72" spans="1:8" ht="17.45">
      <c r="A72" s="274" t="s">
        <v>650</v>
      </c>
      <c r="B72" s="249">
        <v>5272</v>
      </c>
      <c r="C72" s="249">
        <v>280</v>
      </c>
      <c r="D72" s="401">
        <v>280</v>
      </c>
      <c r="E72" s="249">
        <v>0</v>
      </c>
      <c r="F72" s="249">
        <v>0</v>
      </c>
      <c r="G72" s="324"/>
      <c r="H72" s="368">
        <f t="shared" si="0"/>
        <v>5552</v>
      </c>
    </row>
    <row r="73" spans="1:8">
      <c r="A73" s="273"/>
      <c r="B73" s="245">
        <v>0</v>
      </c>
      <c r="C73" s="245">
        <v>0</v>
      </c>
      <c r="D73" s="396"/>
      <c r="E73" s="245">
        <v>0</v>
      </c>
      <c r="F73" s="245">
        <v>0</v>
      </c>
      <c r="G73" s="324"/>
      <c r="H73" s="368">
        <f t="shared" ref="H73:H136" si="1">B73+C73+E73+F73+G73</f>
        <v>0</v>
      </c>
    </row>
    <row r="74" spans="1:8">
      <c r="A74" s="267" t="s">
        <v>134</v>
      </c>
      <c r="B74" s="245">
        <v>0</v>
      </c>
      <c r="C74" s="245">
        <v>0</v>
      </c>
      <c r="D74" s="396"/>
      <c r="E74" s="245"/>
      <c r="F74" s="245">
        <v>0</v>
      </c>
      <c r="G74" s="324"/>
      <c r="H74" s="368">
        <f t="shared" si="1"/>
        <v>0</v>
      </c>
    </row>
    <row r="75" spans="1:8">
      <c r="A75" s="268" t="s">
        <v>136</v>
      </c>
      <c r="B75" s="245">
        <v>0</v>
      </c>
      <c r="C75" s="245">
        <v>0</v>
      </c>
      <c r="D75" s="396">
        <v>0</v>
      </c>
      <c r="E75" s="245"/>
      <c r="F75" s="245">
        <v>0</v>
      </c>
      <c r="G75" s="324"/>
      <c r="H75" s="368">
        <f t="shared" si="1"/>
        <v>0</v>
      </c>
    </row>
    <row r="76" spans="1:8">
      <c r="A76" s="268" t="s">
        <v>137</v>
      </c>
      <c r="B76" s="245">
        <v>0</v>
      </c>
      <c r="C76" s="245">
        <v>0</v>
      </c>
      <c r="D76" s="396">
        <v>0</v>
      </c>
      <c r="E76" s="245">
        <v>0</v>
      </c>
      <c r="F76" s="245">
        <v>0</v>
      </c>
      <c r="G76" s="324">
        <v>500</v>
      </c>
      <c r="H76" s="368">
        <f t="shared" si="1"/>
        <v>500</v>
      </c>
    </row>
    <row r="77" spans="1:8">
      <c r="A77" s="268" t="s">
        <v>158</v>
      </c>
      <c r="B77" s="245">
        <v>2916191.99</v>
      </c>
      <c r="C77" s="245">
        <v>0</v>
      </c>
      <c r="D77" s="396">
        <v>0</v>
      </c>
      <c r="E77" s="245">
        <v>22800</v>
      </c>
      <c r="F77" s="245">
        <v>0</v>
      </c>
      <c r="G77" s="324"/>
      <c r="H77" s="368">
        <f t="shared" si="1"/>
        <v>2938991.99</v>
      </c>
    </row>
    <row r="78" spans="1:8" ht="17.45">
      <c r="A78" s="272" t="s">
        <v>651</v>
      </c>
      <c r="B78" s="249">
        <v>2916191.99</v>
      </c>
      <c r="C78" s="249">
        <v>0</v>
      </c>
      <c r="D78" s="401">
        <v>0</v>
      </c>
      <c r="E78" s="360">
        <v>22800</v>
      </c>
      <c r="F78" s="249">
        <v>0</v>
      </c>
      <c r="G78" s="338">
        <v>500</v>
      </c>
      <c r="H78" s="369">
        <f t="shared" si="1"/>
        <v>2939491.99</v>
      </c>
    </row>
    <row r="79" spans="1:8">
      <c r="A79" s="267"/>
      <c r="B79" s="245">
        <v>0</v>
      </c>
      <c r="C79" s="245">
        <v>0</v>
      </c>
      <c r="D79" s="396"/>
      <c r="E79" s="245">
        <v>0</v>
      </c>
      <c r="F79" s="245">
        <v>0</v>
      </c>
      <c r="G79" s="324"/>
      <c r="H79" s="368">
        <f t="shared" si="1"/>
        <v>0</v>
      </c>
    </row>
    <row r="80" spans="1:8">
      <c r="A80" s="267" t="s">
        <v>652</v>
      </c>
      <c r="B80" s="245">
        <v>0</v>
      </c>
      <c r="C80" s="245">
        <v>0</v>
      </c>
      <c r="D80" s="396"/>
      <c r="E80" s="245">
        <v>0</v>
      </c>
      <c r="F80" s="245">
        <v>0</v>
      </c>
      <c r="G80" s="324"/>
      <c r="H80" s="368">
        <f t="shared" si="1"/>
        <v>0</v>
      </c>
    </row>
    <row r="81" spans="1:8">
      <c r="A81" s="268" t="s">
        <v>140</v>
      </c>
      <c r="B81" s="245">
        <v>0</v>
      </c>
      <c r="C81" s="245">
        <v>0</v>
      </c>
      <c r="D81" s="396">
        <v>0</v>
      </c>
      <c r="E81" s="245">
        <v>0</v>
      </c>
      <c r="F81" s="245">
        <v>0</v>
      </c>
      <c r="G81" s="324"/>
      <c r="H81" s="368">
        <f t="shared" si="1"/>
        <v>0</v>
      </c>
    </row>
    <row r="82" spans="1:8">
      <c r="A82" s="268" t="s">
        <v>158</v>
      </c>
      <c r="B82" s="245">
        <v>0</v>
      </c>
      <c r="C82" s="245">
        <v>0</v>
      </c>
      <c r="D82" s="396">
        <v>0</v>
      </c>
      <c r="E82" s="245">
        <v>0</v>
      </c>
      <c r="F82" s="245">
        <v>0</v>
      </c>
      <c r="G82" s="324"/>
      <c r="H82" s="368">
        <f t="shared" si="1"/>
        <v>0</v>
      </c>
    </row>
    <row r="83" spans="1:8" ht="17.45">
      <c r="A83" s="272" t="s">
        <v>653</v>
      </c>
      <c r="B83" s="249">
        <v>0</v>
      </c>
      <c r="C83" s="249"/>
      <c r="D83" s="402">
        <v>0</v>
      </c>
      <c r="E83" s="249"/>
      <c r="F83" s="249">
        <v>0</v>
      </c>
      <c r="G83" s="325">
        <v>0</v>
      </c>
      <c r="H83" s="369">
        <f t="shared" si="1"/>
        <v>0</v>
      </c>
    </row>
    <row r="84" spans="1:8" ht="17.45">
      <c r="A84" s="275"/>
      <c r="B84" s="245">
        <v>0</v>
      </c>
      <c r="C84" s="245">
        <v>0</v>
      </c>
      <c r="D84" s="396"/>
      <c r="E84" s="359"/>
      <c r="F84" s="245">
        <v>0</v>
      </c>
      <c r="G84" s="324">
        <v>0</v>
      </c>
      <c r="H84" s="368">
        <f t="shared" si="1"/>
        <v>0</v>
      </c>
    </row>
    <row r="85" spans="1:8" ht="17.45">
      <c r="A85" s="275" t="s">
        <v>142</v>
      </c>
      <c r="B85" s="245">
        <v>0</v>
      </c>
      <c r="C85" s="245">
        <v>0</v>
      </c>
      <c r="D85" s="396"/>
      <c r="E85" s="359"/>
      <c r="F85" s="245">
        <v>0</v>
      </c>
      <c r="G85" s="324">
        <v>0</v>
      </c>
      <c r="H85" s="368">
        <f t="shared" si="1"/>
        <v>0</v>
      </c>
    </row>
    <row r="86" spans="1:8">
      <c r="A86" s="271" t="s">
        <v>137</v>
      </c>
      <c r="B86" s="245">
        <v>0</v>
      </c>
      <c r="C86" s="245">
        <v>0</v>
      </c>
      <c r="D86" s="396">
        <v>0</v>
      </c>
      <c r="E86" s="245">
        <v>0</v>
      </c>
      <c r="F86" s="245">
        <v>0</v>
      </c>
      <c r="G86" s="324">
        <v>500</v>
      </c>
      <c r="H86" s="368">
        <f t="shared" si="1"/>
        <v>500</v>
      </c>
    </row>
    <row r="87" spans="1:8">
      <c r="A87" s="268" t="s">
        <v>158</v>
      </c>
      <c r="B87" s="245">
        <v>571</v>
      </c>
      <c r="C87" s="245">
        <v>0</v>
      </c>
      <c r="D87" s="396">
        <v>0</v>
      </c>
      <c r="E87" s="245">
        <v>500</v>
      </c>
      <c r="F87" s="245">
        <v>0</v>
      </c>
      <c r="G87" s="324"/>
      <c r="H87" s="368">
        <f t="shared" si="1"/>
        <v>1071</v>
      </c>
    </row>
    <row r="88" spans="1:8" ht="17.45">
      <c r="A88" s="276" t="s">
        <v>654</v>
      </c>
      <c r="B88" s="249">
        <v>571</v>
      </c>
      <c r="C88" s="249">
        <v>0</v>
      </c>
      <c r="D88" s="401">
        <v>0</v>
      </c>
      <c r="E88" s="247">
        <v>500</v>
      </c>
      <c r="F88" s="249">
        <v>0</v>
      </c>
      <c r="G88" s="339">
        <v>500</v>
      </c>
      <c r="H88" s="369">
        <f t="shared" si="1"/>
        <v>1571</v>
      </c>
    </row>
    <row r="89" spans="1:8">
      <c r="A89" s="268"/>
      <c r="B89" s="245">
        <v>0</v>
      </c>
      <c r="C89" s="245">
        <v>0</v>
      </c>
      <c r="D89" s="396"/>
      <c r="E89" s="245">
        <v>0</v>
      </c>
      <c r="F89" s="245">
        <v>0</v>
      </c>
      <c r="G89" s="324">
        <v>0</v>
      </c>
      <c r="H89" s="368">
        <f t="shared" si="1"/>
        <v>0</v>
      </c>
    </row>
    <row r="90" spans="1:8">
      <c r="A90" s="275" t="s">
        <v>145</v>
      </c>
      <c r="B90" s="245">
        <v>0</v>
      </c>
      <c r="C90" s="245">
        <v>0</v>
      </c>
      <c r="D90" s="396"/>
      <c r="E90" s="245">
        <v>0</v>
      </c>
      <c r="F90" s="245">
        <v>0</v>
      </c>
      <c r="G90" s="324"/>
      <c r="H90" s="368">
        <f t="shared" si="1"/>
        <v>0</v>
      </c>
    </row>
    <row r="91" spans="1:8">
      <c r="A91" s="271" t="s">
        <v>137</v>
      </c>
      <c r="B91" s="245">
        <v>0</v>
      </c>
      <c r="C91" s="245">
        <v>0</v>
      </c>
      <c r="D91" s="396">
        <v>0</v>
      </c>
      <c r="E91" s="245">
        <v>0</v>
      </c>
      <c r="F91" s="245">
        <v>0</v>
      </c>
      <c r="G91" s="324">
        <v>0</v>
      </c>
      <c r="H91" s="368">
        <f t="shared" si="1"/>
        <v>0</v>
      </c>
    </row>
    <row r="92" spans="1:8" ht="17.45">
      <c r="A92" s="271" t="s">
        <v>158</v>
      </c>
      <c r="B92" s="245">
        <v>63264.51</v>
      </c>
      <c r="C92" s="245">
        <v>176914.63</v>
      </c>
      <c r="D92" s="396">
        <v>176914.63</v>
      </c>
      <c r="E92" s="245">
        <v>53180.570000000007</v>
      </c>
      <c r="F92" s="245">
        <v>6793.13</v>
      </c>
      <c r="G92" s="325">
        <v>222631.2</v>
      </c>
      <c r="H92" s="368">
        <f t="shared" si="1"/>
        <v>522784.04000000004</v>
      </c>
    </row>
    <row r="93" spans="1:8">
      <c r="A93" s="271" t="s">
        <v>146</v>
      </c>
      <c r="B93" s="245">
        <v>749371257.42000008</v>
      </c>
      <c r="C93" s="245">
        <v>826258437.79999995</v>
      </c>
      <c r="D93" s="396">
        <v>826258437.79999995</v>
      </c>
      <c r="E93" s="245">
        <v>661111537.94000006</v>
      </c>
      <c r="F93" s="245">
        <v>604938726.31000006</v>
      </c>
      <c r="G93" s="324">
        <v>532934609.07999998</v>
      </c>
      <c r="H93" s="368">
        <f t="shared" si="1"/>
        <v>3374614568.5499997</v>
      </c>
    </row>
    <row r="94" spans="1:8" ht="17.45">
      <c r="A94" s="276" t="s">
        <v>655</v>
      </c>
      <c r="B94" s="249">
        <v>749434521.93000007</v>
      </c>
      <c r="C94" s="249">
        <f>C93+C92</f>
        <v>826435352.42999995</v>
      </c>
      <c r="D94" s="401">
        <v>826435352.42999995</v>
      </c>
      <c r="E94" s="360">
        <v>661164718.51000011</v>
      </c>
      <c r="F94" s="249">
        <v>604945519.44000006</v>
      </c>
      <c r="G94" s="371">
        <v>533157240.27999997</v>
      </c>
      <c r="H94" s="369">
        <f t="shared" si="1"/>
        <v>3375137352.5900002</v>
      </c>
    </row>
    <row r="95" spans="1:8">
      <c r="A95" s="267"/>
      <c r="B95" s="245">
        <v>0</v>
      </c>
      <c r="C95" s="245">
        <v>0</v>
      </c>
      <c r="D95" s="396"/>
      <c r="E95" s="245">
        <v>0</v>
      </c>
      <c r="F95" s="247">
        <v>0</v>
      </c>
      <c r="G95" s="247"/>
      <c r="H95" s="368">
        <f t="shared" si="1"/>
        <v>0</v>
      </c>
    </row>
    <row r="96" spans="1:8" ht="17.45">
      <c r="A96" s="272" t="s">
        <v>148</v>
      </c>
      <c r="B96" s="245">
        <v>0</v>
      </c>
      <c r="C96" s="245">
        <v>0</v>
      </c>
      <c r="D96" s="396"/>
      <c r="E96" s="245">
        <v>0</v>
      </c>
      <c r="F96" s="247">
        <v>0</v>
      </c>
      <c r="G96" s="249"/>
      <c r="H96" s="368">
        <f t="shared" si="1"/>
        <v>0</v>
      </c>
    </row>
    <row r="97" spans="1:8" ht="18">
      <c r="A97" s="268" t="s">
        <v>116</v>
      </c>
      <c r="B97" s="245">
        <v>83370</v>
      </c>
      <c r="C97" s="245">
        <v>23320</v>
      </c>
      <c r="D97" s="396">
        <v>23320</v>
      </c>
      <c r="E97" s="361">
        <v>19520</v>
      </c>
      <c r="F97" s="245">
        <v>22010</v>
      </c>
      <c r="G97" s="247">
        <v>0</v>
      </c>
      <c r="H97" s="368">
        <f t="shared" si="1"/>
        <v>148220</v>
      </c>
    </row>
    <row r="98" spans="1:8" ht="17.45">
      <c r="A98" s="272" t="s">
        <v>656</v>
      </c>
      <c r="B98" s="249">
        <v>83370</v>
      </c>
      <c r="C98" s="249">
        <f>C97</f>
        <v>23320</v>
      </c>
      <c r="D98" s="401">
        <v>23320</v>
      </c>
      <c r="E98" s="360">
        <v>19520</v>
      </c>
      <c r="F98" s="249">
        <v>22010</v>
      </c>
      <c r="G98" s="247">
        <v>0</v>
      </c>
      <c r="H98" s="369">
        <f t="shared" si="1"/>
        <v>148220</v>
      </c>
    </row>
    <row r="99" spans="1:8">
      <c r="A99" s="267"/>
      <c r="B99" s="245">
        <v>0</v>
      </c>
      <c r="C99" s="245">
        <v>0</v>
      </c>
      <c r="D99" s="396"/>
      <c r="E99" s="245">
        <v>0</v>
      </c>
      <c r="F99" s="245">
        <v>0</v>
      </c>
      <c r="G99" s="324"/>
      <c r="H99" s="368">
        <f t="shared" si="1"/>
        <v>0</v>
      </c>
    </row>
    <row r="100" spans="1:8">
      <c r="A100" s="267" t="s">
        <v>657</v>
      </c>
      <c r="B100" s="245">
        <v>0</v>
      </c>
      <c r="C100" s="245">
        <v>0</v>
      </c>
      <c r="D100" s="396"/>
      <c r="E100" s="245">
        <v>0</v>
      </c>
      <c r="F100" s="245">
        <v>0</v>
      </c>
      <c r="G100" s="324"/>
      <c r="H100" s="368">
        <f t="shared" si="1"/>
        <v>0</v>
      </c>
    </row>
    <row r="101" spans="1:8">
      <c r="A101" s="268" t="s">
        <v>658</v>
      </c>
      <c r="B101" s="245">
        <v>0</v>
      </c>
      <c r="C101" s="245">
        <v>0</v>
      </c>
      <c r="D101" s="396">
        <v>0</v>
      </c>
      <c r="E101" s="245">
        <v>0</v>
      </c>
      <c r="F101" s="245">
        <v>0</v>
      </c>
      <c r="G101" s="324">
        <v>0</v>
      </c>
      <c r="H101" s="368">
        <f t="shared" si="1"/>
        <v>0</v>
      </c>
    </row>
    <row r="102" spans="1:8" ht="17.45">
      <c r="A102" s="268" t="s">
        <v>659</v>
      </c>
      <c r="B102" s="245">
        <v>0</v>
      </c>
      <c r="C102" s="245">
        <v>0</v>
      </c>
      <c r="D102" s="396">
        <v>0</v>
      </c>
      <c r="E102" s="245">
        <v>0</v>
      </c>
      <c r="F102" s="245">
        <v>0</v>
      </c>
      <c r="G102" s="325">
        <v>0</v>
      </c>
      <c r="H102" s="368">
        <f t="shared" si="1"/>
        <v>0</v>
      </c>
    </row>
    <row r="103" spans="1:8">
      <c r="A103" s="268" t="s">
        <v>158</v>
      </c>
      <c r="B103" s="245">
        <v>0</v>
      </c>
      <c r="C103" s="245">
        <v>0</v>
      </c>
      <c r="D103" s="396">
        <v>0</v>
      </c>
      <c r="E103" s="245">
        <v>0</v>
      </c>
      <c r="F103" s="245">
        <v>0</v>
      </c>
      <c r="G103" s="324">
        <v>0</v>
      </c>
      <c r="H103" s="368">
        <f t="shared" si="1"/>
        <v>0</v>
      </c>
    </row>
    <row r="104" spans="1:8" ht="17.45">
      <c r="A104" s="272" t="s">
        <v>660</v>
      </c>
      <c r="B104" s="249">
        <v>0</v>
      </c>
      <c r="C104" s="249">
        <v>0</v>
      </c>
      <c r="D104" s="401">
        <v>0</v>
      </c>
      <c r="E104" s="247">
        <v>0</v>
      </c>
      <c r="F104" s="249">
        <v>0</v>
      </c>
      <c r="G104" s="324">
        <v>0</v>
      </c>
      <c r="H104" s="368">
        <f t="shared" si="1"/>
        <v>0</v>
      </c>
    </row>
    <row r="105" spans="1:8">
      <c r="A105" s="267"/>
      <c r="B105" s="245">
        <v>0</v>
      </c>
      <c r="C105" s="245">
        <v>0</v>
      </c>
      <c r="D105" s="396"/>
      <c r="E105" s="245">
        <v>0</v>
      </c>
      <c r="F105" s="245">
        <v>0</v>
      </c>
      <c r="G105" s="324"/>
      <c r="H105" s="368">
        <f t="shared" si="1"/>
        <v>0</v>
      </c>
    </row>
    <row r="106" spans="1:8">
      <c r="A106" s="267" t="s">
        <v>150</v>
      </c>
      <c r="B106" s="245">
        <v>0</v>
      </c>
      <c r="C106" s="245">
        <v>0</v>
      </c>
      <c r="D106" s="396"/>
      <c r="E106" s="245">
        <v>0</v>
      </c>
      <c r="F106" s="245">
        <v>0</v>
      </c>
      <c r="G106" s="324"/>
      <c r="H106" s="368">
        <f t="shared" si="1"/>
        <v>0</v>
      </c>
    </row>
    <row r="107" spans="1:8">
      <c r="A107" s="277" t="s">
        <v>661</v>
      </c>
      <c r="B107" s="245">
        <v>0</v>
      </c>
      <c r="C107" s="245">
        <v>0</v>
      </c>
      <c r="D107" s="396">
        <v>0</v>
      </c>
      <c r="E107" s="245">
        <v>0</v>
      </c>
      <c r="F107" s="245">
        <v>0</v>
      </c>
      <c r="G107" s="324">
        <v>0</v>
      </c>
      <c r="H107" s="368">
        <f t="shared" si="1"/>
        <v>0</v>
      </c>
    </row>
    <row r="108" spans="1:8">
      <c r="A108" s="277" t="s">
        <v>662</v>
      </c>
      <c r="B108" s="245">
        <v>0</v>
      </c>
      <c r="C108" s="245">
        <v>0</v>
      </c>
      <c r="D108" s="396">
        <v>0</v>
      </c>
      <c r="E108" s="245">
        <v>0</v>
      </c>
      <c r="F108" s="245">
        <v>0</v>
      </c>
      <c r="G108" s="324">
        <v>0</v>
      </c>
      <c r="H108" s="368">
        <f t="shared" si="1"/>
        <v>0</v>
      </c>
    </row>
    <row r="109" spans="1:8">
      <c r="A109" s="278" t="s">
        <v>153</v>
      </c>
      <c r="B109" s="245">
        <v>0</v>
      </c>
      <c r="C109" s="245">
        <v>0</v>
      </c>
      <c r="D109" s="396">
        <v>0</v>
      </c>
      <c r="E109" s="245">
        <v>0</v>
      </c>
      <c r="F109" s="245">
        <v>0</v>
      </c>
      <c r="G109" s="324">
        <v>0</v>
      </c>
      <c r="H109" s="368">
        <f t="shared" si="1"/>
        <v>0</v>
      </c>
    </row>
    <row r="110" spans="1:8">
      <c r="A110" s="268" t="s">
        <v>154</v>
      </c>
      <c r="B110" s="245">
        <v>0</v>
      </c>
      <c r="C110" s="245">
        <v>0</v>
      </c>
      <c r="D110" s="396">
        <v>0</v>
      </c>
      <c r="E110" s="245">
        <v>0</v>
      </c>
      <c r="F110" s="245">
        <v>0</v>
      </c>
      <c r="G110" s="324">
        <v>0</v>
      </c>
      <c r="H110" s="368">
        <f t="shared" si="1"/>
        <v>0</v>
      </c>
    </row>
    <row r="111" spans="1:8">
      <c r="A111" s="279" t="s">
        <v>156</v>
      </c>
      <c r="B111" s="245">
        <v>0</v>
      </c>
      <c r="C111" s="245">
        <v>0</v>
      </c>
      <c r="D111" s="396">
        <v>0</v>
      </c>
      <c r="E111" s="245"/>
      <c r="F111" s="245">
        <v>0</v>
      </c>
      <c r="G111" s="324">
        <v>0</v>
      </c>
      <c r="H111" s="368">
        <f t="shared" si="1"/>
        <v>0</v>
      </c>
    </row>
    <row r="112" spans="1:8">
      <c r="A112" s="279" t="s">
        <v>157</v>
      </c>
      <c r="B112" s="245">
        <v>0</v>
      </c>
      <c r="C112" s="245">
        <v>0</v>
      </c>
      <c r="D112" s="396">
        <v>0</v>
      </c>
      <c r="E112" s="245"/>
      <c r="F112" s="245">
        <v>0</v>
      </c>
      <c r="G112" s="324">
        <v>0</v>
      </c>
      <c r="H112" s="368">
        <f t="shared" si="1"/>
        <v>0</v>
      </c>
    </row>
    <row r="113" spans="1:8" ht="17.45">
      <c r="A113" s="279" t="s">
        <v>158</v>
      </c>
      <c r="B113" s="245">
        <v>2500</v>
      </c>
      <c r="C113" s="245">
        <v>0</v>
      </c>
      <c r="D113" s="396">
        <v>0</v>
      </c>
      <c r="E113" s="245">
        <v>0</v>
      </c>
      <c r="F113" s="245">
        <v>0</v>
      </c>
      <c r="G113" s="325">
        <v>0</v>
      </c>
      <c r="H113" s="368">
        <f t="shared" si="1"/>
        <v>2500</v>
      </c>
    </row>
    <row r="114" spans="1:8">
      <c r="A114" s="279" t="s">
        <v>159</v>
      </c>
      <c r="B114" s="245">
        <v>0</v>
      </c>
      <c r="C114" s="245">
        <v>0</v>
      </c>
      <c r="D114" s="396">
        <v>0</v>
      </c>
      <c r="E114" s="245">
        <v>0</v>
      </c>
      <c r="F114" s="245">
        <v>0</v>
      </c>
      <c r="G114" s="324">
        <v>0</v>
      </c>
      <c r="H114" s="368">
        <f t="shared" si="1"/>
        <v>0</v>
      </c>
    </row>
    <row r="115" spans="1:8" ht="17.45">
      <c r="A115" s="280" t="s">
        <v>663</v>
      </c>
      <c r="B115" s="249">
        <v>2500</v>
      </c>
      <c r="C115" s="249">
        <v>0</v>
      </c>
      <c r="D115" s="401">
        <v>0</v>
      </c>
      <c r="E115" s="249">
        <v>0</v>
      </c>
      <c r="F115" s="249">
        <v>0</v>
      </c>
      <c r="G115" s="324">
        <v>0</v>
      </c>
      <c r="H115" s="369">
        <f t="shared" si="1"/>
        <v>2500</v>
      </c>
    </row>
    <row r="116" spans="1:8">
      <c r="A116" s="267"/>
      <c r="B116" s="245">
        <v>0</v>
      </c>
      <c r="C116" s="245">
        <v>0</v>
      </c>
      <c r="D116" s="396"/>
      <c r="E116" s="245">
        <v>0</v>
      </c>
      <c r="F116" s="245">
        <v>0</v>
      </c>
      <c r="G116" s="324"/>
      <c r="H116" s="368">
        <f t="shared" si="1"/>
        <v>0</v>
      </c>
    </row>
    <row r="117" spans="1:8">
      <c r="A117" s="267" t="s">
        <v>664</v>
      </c>
      <c r="B117" s="245">
        <v>0</v>
      </c>
      <c r="C117" s="245">
        <v>0</v>
      </c>
      <c r="D117" s="396"/>
      <c r="E117" s="245">
        <v>0</v>
      </c>
      <c r="F117" s="245">
        <v>0</v>
      </c>
      <c r="G117" s="324"/>
      <c r="H117" s="368">
        <f t="shared" si="1"/>
        <v>0</v>
      </c>
    </row>
    <row r="118" spans="1:8">
      <c r="A118" s="268" t="s">
        <v>665</v>
      </c>
      <c r="B118" s="245">
        <v>0</v>
      </c>
      <c r="C118" s="245">
        <v>0</v>
      </c>
      <c r="D118" s="396">
        <v>0</v>
      </c>
      <c r="E118" s="245">
        <v>0</v>
      </c>
      <c r="F118" s="245">
        <v>0</v>
      </c>
      <c r="G118" s="324">
        <v>0</v>
      </c>
      <c r="H118" s="368">
        <f t="shared" si="1"/>
        <v>0</v>
      </c>
    </row>
    <row r="119" spans="1:8">
      <c r="A119" s="268" t="s">
        <v>666</v>
      </c>
      <c r="B119" s="245">
        <v>0</v>
      </c>
      <c r="C119" s="245">
        <v>0</v>
      </c>
      <c r="D119" s="396">
        <v>0</v>
      </c>
      <c r="E119" s="245">
        <v>0</v>
      </c>
      <c r="F119" s="245">
        <v>0</v>
      </c>
      <c r="G119" s="324">
        <v>0</v>
      </c>
      <c r="H119" s="368">
        <f t="shared" si="1"/>
        <v>0</v>
      </c>
    </row>
    <row r="120" spans="1:8">
      <c r="A120" s="268" t="s">
        <v>667</v>
      </c>
      <c r="B120" s="245">
        <v>0</v>
      </c>
      <c r="C120" s="245">
        <v>0</v>
      </c>
      <c r="D120" s="396">
        <v>0</v>
      </c>
      <c r="E120" s="245">
        <v>0</v>
      </c>
      <c r="F120" s="245">
        <v>0</v>
      </c>
      <c r="G120" s="324">
        <v>0</v>
      </c>
      <c r="H120" s="368">
        <f t="shared" si="1"/>
        <v>0</v>
      </c>
    </row>
    <row r="121" spans="1:8">
      <c r="A121" s="268" t="s">
        <v>668</v>
      </c>
      <c r="B121" s="245">
        <v>0</v>
      </c>
      <c r="C121" s="245">
        <v>0</v>
      </c>
      <c r="D121" s="396">
        <v>0</v>
      </c>
      <c r="E121" s="245">
        <v>0</v>
      </c>
      <c r="F121" s="245">
        <v>0</v>
      </c>
      <c r="G121" s="324">
        <v>0</v>
      </c>
      <c r="H121" s="368">
        <f t="shared" si="1"/>
        <v>0</v>
      </c>
    </row>
    <row r="122" spans="1:8">
      <c r="A122" s="268" t="s">
        <v>669</v>
      </c>
      <c r="B122" s="245">
        <v>0</v>
      </c>
      <c r="C122" s="245">
        <v>0</v>
      </c>
      <c r="D122" s="396">
        <v>0</v>
      </c>
      <c r="E122" s="245">
        <v>0</v>
      </c>
      <c r="F122" s="245">
        <v>0</v>
      </c>
      <c r="G122" s="324">
        <v>0</v>
      </c>
      <c r="H122" s="368">
        <f t="shared" si="1"/>
        <v>0</v>
      </c>
    </row>
    <row r="123" spans="1:8">
      <c r="A123" s="268" t="s">
        <v>670</v>
      </c>
      <c r="B123" s="245">
        <v>0</v>
      </c>
      <c r="C123" s="245">
        <v>0</v>
      </c>
      <c r="D123" s="396">
        <v>0</v>
      </c>
      <c r="E123" s="245">
        <v>0</v>
      </c>
      <c r="F123" s="245">
        <v>0</v>
      </c>
      <c r="G123" s="324">
        <v>0</v>
      </c>
      <c r="H123" s="368">
        <f t="shared" si="1"/>
        <v>0</v>
      </c>
    </row>
    <row r="124" spans="1:8">
      <c r="A124" s="268" t="s">
        <v>671</v>
      </c>
      <c r="B124" s="245">
        <v>0</v>
      </c>
      <c r="C124" s="245">
        <v>0</v>
      </c>
      <c r="D124" s="396">
        <v>0</v>
      </c>
      <c r="E124" s="245">
        <v>0</v>
      </c>
      <c r="F124" s="245">
        <v>0</v>
      </c>
      <c r="G124" s="324">
        <v>0</v>
      </c>
      <c r="H124" s="368">
        <f t="shared" si="1"/>
        <v>0</v>
      </c>
    </row>
    <row r="125" spans="1:8" ht="17.45">
      <c r="A125" s="268" t="s">
        <v>672</v>
      </c>
      <c r="B125" s="245">
        <v>0</v>
      </c>
      <c r="C125" s="245">
        <v>0</v>
      </c>
      <c r="D125" s="396">
        <v>0</v>
      </c>
      <c r="E125" s="245">
        <v>0</v>
      </c>
      <c r="F125" s="245">
        <v>0</v>
      </c>
      <c r="G125" s="325">
        <v>0</v>
      </c>
      <c r="H125" s="368">
        <f t="shared" si="1"/>
        <v>0</v>
      </c>
    </row>
    <row r="126" spans="1:8">
      <c r="A126" s="268" t="s">
        <v>673</v>
      </c>
      <c r="B126" s="245">
        <v>0</v>
      </c>
      <c r="C126" s="245">
        <v>0</v>
      </c>
      <c r="D126" s="396">
        <v>0</v>
      </c>
      <c r="E126" s="245">
        <v>0</v>
      </c>
      <c r="F126" s="245">
        <v>0</v>
      </c>
      <c r="G126" s="324">
        <v>0</v>
      </c>
      <c r="H126" s="368">
        <f t="shared" si="1"/>
        <v>0</v>
      </c>
    </row>
    <row r="127" spans="1:8" ht="17.45">
      <c r="A127" s="265" t="s">
        <v>674</v>
      </c>
      <c r="B127" s="249">
        <v>0</v>
      </c>
      <c r="C127" s="249">
        <v>0</v>
      </c>
      <c r="D127" s="401">
        <v>0</v>
      </c>
      <c r="E127" s="247">
        <v>0</v>
      </c>
      <c r="F127" s="249">
        <v>0</v>
      </c>
      <c r="G127" s="324">
        <v>0</v>
      </c>
      <c r="H127" s="369">
        <f t="shared" si="1"/>
        <v>0</v>
      </c>
    </row>
    <row r="128" spans="1:8">
      <c r="A128" s="267"/>
      <c r="B128" s="245">
        <v>0</v>
      </c>
      <c r="C128" s="245">
        <v>0</v>
      </c>
      <c r="D128" s="396"/>
      <c r="E128" s="245">
        <v>0</v>
      </c>
      <c r="F128" s="245">
        <v>0</v>
      </c>
      <c r="G128" s="324"/>
      <c r="H128" s="368">
        <f t="shared" si="1"/>
        <v>0</v>
      </c>
    </row>
    <row r="129" spans="1:8">
      <c r="A129" s="281" t="s">
        <v>161</v>
      </c>
      <c r="B129" s="245">
        <v>0</v>
      </c>
      <c r="C129" s="245">
        <v>0</v>
      </c>
      <c r="D129" s="396"/>
      <c r="E129" s="245">
        <v>0</v>
      </c>
      <c r="F129" s="245">
        <v>0</v>
      </c>
      <c r="G129" s="324"/>
      <c r="H129" s="368">
        <f t="shared" si="1"/>
        <v>0</v>
      </c>
    </row>
    <row r="130" spans="1:8">
      <c r="A130" s="282" t="s">
        <v>675</v>
      </c>
      <c r="B130" s="245">
        <v>1397504.6</v>
      </c>
      <c r="C130" s="245">
        <v>0</v>
      </c>
      <c r="D130" s="396">
        <v>0</v>
      </c>
      <c r="E130" s="245">
        <v>5805000</v>
      </c>
      <c r="F130" s="245">
        <v>817000</v>
      </c>
      <c r="G130" s="324">
        <v>208758287.47</v>
      </c>
      <c r="H130" s="368">
        <f t="shared" si="1"/>
        <v>216777792.06999999</v>
      </c>
    </row>
    <row r="131" spans="1:8">
      <c r="A131" s="283" t="s">
        <v>676</v>
      </c>
      <c r="B131" s="245">
        <v>130445630.84999999</v>
      </c>
      <c r="C131" s="245">
        <v>5382591985.0900002</v>
      </c>
      <c r="D131" s="396">
        <v>5382591985.0900002</v>
      </c>
      <c r="E131" s="245">
        <v>126325210.34</v>
      </c>
      <c r="F131" s="245">
        <v>95540000</v>
      </c>
      <c r="G131" s="324">
        <v>2850000000</v>
      </c>
      <c r="H131" s="368">
        <f t="shared" si="1"/>
        <v>8584902826.2800007</v>
      </c>
    </row>
    <row r="132" spans="1:8">
      <c r="A132" s="284" t="s">
        <v>677</v>
      </c>
      <c r="B132" s="245">
        <v>0</v>
      </c>
      <c r="C132" s="245">
        <v>0</v>
      </c>
      <c r="D132" s="396">
        <v>0</v>
      </c>
      <c r="E132" s="245">
        <v>0</v>
      </c>
      <c r="F132" s="245">
        <v>0</v>
      </c>
      <c r="G132" s="324">
        <v>0</v>
      </c>
      <c r="H132" s="368">
        <f t="shared" si="1"/>
        <v>0</v>
      </c>
    </row>
    <row r="133" spans="1:8">
      <c r="A133" s="273" t="s">
        <v>166</v>
      </c>
      <c r="B133" s="245">
        <v>0</v>
      </c>
      <c r="C133" s="245">
        <v>0</v>
      </c>
      <c r="D133" s="396">
        <v>0</v>
      </c>
      <c r="E133" s="245">
        <v>0</v>
      </c>
      <c r="F133" s="245">
        <v>0</v>
      </c>
      <c r="G133" s="324">
        <v>0</v>
      </c>
      <c r="H133" s="368">
        <f t="shared" si="1"/>
        <v>0</v>
      </c>
    </row>
    <row r="134" spans="1:8">
      <c r="A134" s="285" t="s">
        <v>167</v>
      </c>
      <c r="B134" s="245">
        <v>0</v>
      </c>
      <c r="C134" s="245">
        <v>0</v>
      </c>
      <c r="D134" s="396">
        <v>0</v>
      </c>
      <c r="E134" s="245">
        <v>134587.5</v>
      </c>
      <c r="F134" s="245">
        <v>152715</v>
      </c>
      <c r="G134" s="324">
        <v>0</v>
      </c>
      <c r="H134" s="368">
        <f t="shared" si="1"/>
        <v>287302.5</v>
      </c>
    </row>
    <row r="135" spans="1:8" ht="17.45">
      <c r="A135" s="286" t="s">
        <v>678</v>
      </c>
      <c r="B135" s="245">
        <v>0</v>
      </c>
      <c r="C135" s="245">
        <v>0</v>
      </c>
      <c r="D135" s="403">
        <v>0</v>
      </c>
      <c r="E135" s="325">
        <v>0</v>
      </c>
      <c r="F135" s="357">
        <v>0</v>
      </c>
      <c r="G135" s="324">
        <v>0</v>
      </c>
      <c r="H135" s="368">
        <f t="shared" si="1"/>
        <v>0</v>
      </c>
    </row>
    <row r="136" spans="1:8">
      <c r="A136" s="279" t="s">
        <v>169</v>
      </c>
      <c r="B136" s="245">
        <v>0</v>
      </c>
      <c r="C136" s="245">
        <v>0</v>
      </c>
      <c r="D136" s="396">
        <v>0</v>
      </c>
      <c r="E136" s="245">
        <v>0</v>
      </c>
      <c r="F136" s="245">
        <v>0</v>
      </c>
      <c r="G136" s="324">
        <v>0</v>
      </c>
      <c r="H136" s="368">
        <f t="shared" si="1"/>
        <v>0</v>
      </c>
    </row>
    <row r="137" spans="1:8">
      <c r="A137" s="268" t="s">
        <v>170</v>
      </c>
      <c r="B137" s="245">
        <v>0</v>
      </c>
      <c r="C137" s="245">
        <v>0</v>
      </c>
      <c r="D137" s="396">
        <v>0</v>
      </c>
      <c r="E137" s="245">
        <v>0</v>
      </c>
      <c r="F137" s="245">
        <v>0</v>
      </c>
      <c r="G137" s="324">
        <v>0</v>
      </c>
      <c r="H137" s="368">
        <f t="shared" ref="H137:H200" si="2">B137+C137+E137+F137+G137</f>
        <v>0</v>
      </c>
    </row>
    <row r="138" spans="1:8">
      <c r="A138" s="268" t="s">
        <v>171</v>
      </c>
      <c r="B138" s="245">
        <v>0</v>
      </c>
      <c r="C138" s="245">
        <v>0</v>
      </c>
      <c r="D138" s="396">
        <v>0</v>
      </c>
      <c r="E138" s="245">
        <v>0</v>
      </c>
      <c r="F138" s="245">
        <v>0</v>
      </c>
      <c r="G138" s="324">
        <v>4542000</v>
      </c>
      <c r="H138" s="368">
        <f t="shared" si="2"/>
        <v>4542000</v>
      </c>
    </row>
    <row r="139" spans="1:8">
      <c r="A139" s="268" t="s">
        <v>172</v>
      </c>
      <c r="B139" s="245">
        <v>0</v>
      </c>
      <c r="C139" s="245">
        <v>0</v>
      </c>
      <c r="D139" s="396">
        <v>0</v>
      </c>
      <c r="E139" s="245">
        <v>2583436.62</v>
      </c>
      <c r="F139" s="245">
        <v>0</v>
      </c>
      <c r="G139" s="324">
        <v>0</v>
      </c>
      <c r="H139" s="368">
        <f t="shared" si="2"/>
        <v>2583436.62</v>
      </c>
    </row>
    <row r="140" spans="1:8">
      <c r="A140" s="268" t="s">
        <v>174</v>
      </c>
      <c r="B140" s="245">
        <v>0</v>
      </c>
      <c r="C140" s="245">
        <v>0</v>
      </c>
      <c r="D140" s="396">
        <v>0</v>
      </c>
      <c r="E140" s="245">
        <v>443807.22</v>
      </c>
      <c r="F140" s="245">
        <v>1163447.7</v>
      </c>
      <c r="G140" s="324">
        <v>283114.03000000003</v>
      </c>
      <c r="H140" s="368">
        <f t="shared" si="2"/>
        <v>1890368.95</v>
      </c>
    </row>
    <row r="141" spans="1:8" ht="17.45">
      <c r="A141" s="286" t="s">
        <v>158</v>
      </c>
      <c r="B141" s="245">
        <v>58398392.899999999</v>
      </c>
      <c r="C141" s="245">
        <v>762178804.79999995</v>
      </c>
      <c r="D141" s="396">
        <v>762178804.79999995</v>
      </c>
      <c r="E141" s="245">
        <v>1823846.65</v>
      </c>
      <c r="F141" s="245">
        <v>834906198.68000007</v>
      </c>
      <c r="G141" s="325">
        <v>12000</v>
      </c>
      <c r="H141" s="368">
        <f t="shared" si="2"/>
        <v>1657319243.03</v>
      </c>
    </row>
    <row r="142" spans="1:8">
      <c r="A142" s="268" t="s">
        <v>175</v>
      </c>
      <c r="B142" s="245">
        <v>2128958.6799999997</v>
      </c>
      <c r="C142" s="245">
        <v>0</v>
      </c>
      <c r="D142" s="396">
        <v>0</v>
      </c>
      <c r="E142" s="245">
        <v>0</v>
      </c>
      <c r="F142" s="245">
        <v>0</v>
      </c>
      <c r="G142" s="324">
        <v>0</v>
      </c>
      <c r="H142" s="368">
        <f t="shared" si="2"/>
        <v>2128958.6799999997</v>
      </c>
    </row>
    <row r="143" spans="1:8" ht="18" thickBot="1">
      <c r="A143" s="280" t="s">
        <v>679</v>
      </c>
      <c r="B143" s="249">
        <v>192370487.03</v>
      </c>
      <c r="C143" s="249">
        <f>C130+C131+C132+C133+C134+C135+C136+C137+C138+C139+C140+C141+C142</f>
        <v>6144770789.8900003</v>
      </c>
      <c r="D143" s="401">
        <v>6144770789.8900003</v>
      </c>
      <c r="E143" s="360">
        <v>137115888.33000001</v>
      </c>
      <c r="F143" s="249">
        <v>932579361.38000011</v>
      </c>
      <c r="G143" s="341">
        <v>3063595401.5</v>
      </c>
      <c r="H143" s="369">
        <f t="shared" si="2"/>
        <v>10470431928.130001</v>
      </c>
    </row>
    <row r="144" spans="1:8">
      <c r="A144" s="286"/>
      <c r="B144" s="245">
        <v>0</v>
      </c>
      <c r="C144" s="245" t="s">
        <v>125</v>
      </c>
      <c r="D144" s="396"/>
      <c r="E144" s="245">
        <v>0</v>
      </c>
      <c r="F144" s="245">
        <v>0</v>
      </c>
      <c r="G144" s="324"/>
      <c r="H144" s="368">
        <v>0</v>
      </c>
    </row>
    <row r="145" spans="1:8">
      <c r="A145" s="281" t="s">
        <v>177</v>
      </c>
      <c r="B145" s="245">
        <v>0</v>
      </c>
      <c r="C145" s="245">
        <v>0</v>
      </c>
      <c r="D145" s="396"/>
      <c r="E145" s="245">
        <v>0</v>
      </c>
      <c r="F145" s="245">
        <v>0</v>
      </c>
      <c r="G145" s="324"/>
      <c r="H145" s="368">
        <f t="shared" si="2"/>
        <v>0</v>
      </c>
    </row>
    <row r="146" spans="1:8">
      <c r="A146" s="277" t="s">
        <v>178</v>
      </c>
      <c r="B146" s="245">
        <v>72902358.609999999</v>
      </c>
      <c r="C146" s="245">
        <v>23277160.68</v>
      </c>
      <c r="D146" s="396">
        <v>23277160.68</v>
      </c>
      <c r="E146" s="245">
        <v>51202663.779999994</v>
      </c>
      <c r="F146" s="245">
        <v>3227397.2600000016</v>
      </c>
      <c r="G146" s="324">
        <v>21169612.869999997</v>
      </c>
      <c r="H146" s="368">
        <f t="shared" si="2"/>
        <v>171779193.19999999</v>
      </c>
    </row>
    <row r="147" spans="1:8" ht="17.45">
      <c r="A147" s="271" t="s">
        <v>179</v>
      </c>
      <c r="B147" s="245">
        <v>79000</v>
      </c>
      <c r="C147" s="245">
        <v>0</v>
      </c>
      <c r="D147" s="403">
        <v>0</v>
      </c>
      <c r="E147" s="325">
        <v>93778.43</v>
      </c>
      <c r="F147" s="357">
        <v>78856.81</v>
      </c>
      <c r="G147" s="324">
        <v>75000</v>
      </c>
      <c r="H147" s="368">
        <f t="shared" si="2"/>
        <v>326635.24</v>
      </c>
    </row>
    <row r="148" spans="1:8">
      <c r="A148" s="271" t="s">
        <v>680</v>
      </c>
      <c r="B148" s="245">
        <v>54789787.899999999</v>
      </c>
      <c r="C148" s="245">
        <v>83999064.890000001</v>
      </c>
      <c r="D148" s="396">
        <v>83999064.890000001</v>
      </c>
      <c r="E148" s="245">
        <v>105058992.22000001</v>
      </c>
      <c r="F148" s="245">
        <v>127134893.20999999</v>
      </c>
      <c r="G148" s="324">
        <v>163342583.73999998</v>
      </c>
      <c r="H148" s="368">
        <f t="shared" si="2"/>
        <v>534325321.95999992</v>
      </c>
    </row>
    <row r="149" spans="1:8">
      <c r="A149" s="277" t="s">
        <v>181</v>
      </c>
      <c r="B149" s="245">
        <v>274619.56</v>
      </c>
      <c r="C149" s="245">
        <v>248284.51</v>
      </c>
      <c r="D149" s="396">
        <v>248284.50999999998</v>
      </c>
      <c r="E149" s="245">
        <v>4547.880000000001</v>
      </c>
      <c r="F149" s="245">
        <v>236.99</v>
      </c>
      <c r="G149" s="324">
        <v>181133.83000000002</v>
      </c>
      <c r="H149" s="368">
        <f t="shared" si="2"/>
        <v>708822.77</v>
      </c>
    </row>
    <row r="150" spans="1:8">
      <c r="A150" s="271" t="s">
        <v>182</v>
      </c>
      <c r="B150" s="245">
        <v>24949.14</v>
      </c>
      <c r="C150" s="245">
        <v>96717.26</v>
      </c>
      <c r="D150" s="396">
        <v>96717.26</v>
      </c>
      <c r="E150" s="245">
        <v>0</v>
      </c>
      <c r="F150" s="245">
        <v>0</v>
      </c>
      <c r="G150" s="324">
        <v>0</v>
      </c>
      <c r="H150" s="368">
        <f t="shared" si="2"/>
        <v>121666.4</v>
      </c>
    </row>
    <row r="151" spans="1:8">
      <c r="A151" s="271" t="s">
        <v>183</v>
      </c>
      <c r="B151" s="245">
        <v>74553322.310000002</v>
      </c>
      <c r="C151" s="245">
        <v>30000000</v>
      </c>
      <c r="D151" s="396">
        <v>30000000</v>
      </c>
      <c r="E151" s="245">
        <v>73331136.700000003</v>
      </c>
      <c r="F151" s="245">
        <v>15575419.119999999</v>
      </c>
      <c r="G151" s="324">
        <v>62703096.25</v>
      </c>
      <c r="H151" s="368">
        <f t="shared" si="2"/>
        <v>256162974.38</v>
      </c>
    </row>
    <row r="152" spans="1:8">
      <c r="A152" s="271" t="s">
        <v>184</v>
      </c>
      <c r="B152" s="245">
        <v>1053569.72</v>
      </c>
      <c r="C152" s="245">
        <v>47402584.019999996</v>
      </c>
      <c r="D152" s="396">
        <v>47402584.019999996</v>
      </c>
      <c r="E152" s="245">
        <v>948001.9</v>
      </c>
      <c r="F152" s="245">
        <v>946308.62</v>
      </c>
      <c r="G152" s="324">
        <v>593129121.0017736</v>
      </c>
      <c r="H152" s="368">
        <f t="shared" si="2"/>
        <v>643479585.26177359</v>
      </c>
    </row>
    <row r="153" spans="1:8">
      <c r="A153" s="271" t="s">
        <v>681</v>
      </c>
      <c r="B153" s="245">
        <v>7379284.8200000003</v>
      </c>
      <c r="C153" s="245">
        <v>301502701.01999998</v>
      </c>
      <c r="D153" s="396">
        <v>301502701.01999998</v>
      </c>
      <c r="E153" s="245">
        <v>207658580.75</v>
      </c>
      <c r="F153" s="245">
        <v>0</v>
      </c>
      <c r="G153" s="324">
        <v>0</v>
      </c>
      <c r="H153" s="368">
        <f t="shared" si="2"/>
        <v>516540566.58999997</v>
      </c>
    </row>
    <row r="154" spans="1:8">
      <c r="A154" s="271" t="s">
        <v>186</v>
      </c>
      <c r="B154" s="245">
        <v>0</v>
      </c>
      <c r="C154" s="245">
        <v>0</v>
      </c>
      <c r="D154" s="396">
        <v>0</v>
      </c>
      <c r="E154" s="245">
        <v>0</v>
      </c>
      <c r="F154" s="245">
        <v>0</v>
      </c>
      <c r="G154" s="324">
        <v>0</v>
      </c>
      <c r="H154" s="368">
        <f t="shared" si="2"/>
        <v>0</v>
      </c>
    </row>
    <row r="155" spans="1:8">
      <c r="A155" s="271" t="s">
        <v>187</v>
      </c>
      <c r="B155" s="245">
        <v>0</v>
      </c>
      <c r="C155" s="245">
        <v>0</v>
      </c>
      <c r="D155" s="396">
        <v>0</v>
      </c>
      <c r="E155" s="245">
        <v>0</v>
      </c>
      <c r="F155" s="245">
        <v>0</v>
      </c>
      <c r="G155" s="324">
        <v>0</v>
      </c>
      <c r="H155" s="368">
        <f t="shared" si="2"/>
        <v>0</v>
      </c>
    </row>
    <row r="156" spans="1:8">
      <c r="A156" s="271" t="s">
        <v>188</v>
      </c>
      <c r="B156" s="245">
        <v>0</v>
      </c>
      <c r="C156" s="245">
        <v>0</v>
      </c>
      <c r="D156" s="396">
        <v>0</v>
      </c>
      <c r="E156" s="245">
        <v>574887.30000000005</v>
      </c>
      <c r="F156" s="245">
        <v>0</v>
      </c>
      <c r="G156" s="324">
        <v>0</v>
      </c>
      <c r="H156" s="368">
        <f t="shared" si="2"/>
        <v>574887.30000000005</v>
      </c>
    </row>
    <row r="157" spans="1:8">
      <c r="A157" s="271" t="s">
        <v>189</v>
      </c>
      <c r="B157" s="245">
        <v>0</v>
      </c>
      <c r="C157" s="245">
        <v>0</v>
      </c>
      <c r="D157" s="396">
        <v>0</v>
      </c>
      <c r="E157" s="245">
        <v>0</v>
      </c>
      <c r="F157" s="245">
        <v>0</v>
      </c>
      <c r="G157" s="324">
        <v>0</v>
      </c>
      <c r="H157" s="368">
        <f t="shared" si="2"/>
        <v>0</v>
      </c>
    </row>
    <row r="158" spans="1:8">
      <c r="A158" s="271" t="s">
        <v>190</v>
      </c>
      <c r="B158" s="245">
        <v>0</v>
      </c>
      <c r="C158" s="245">
        <v>0</v>
      </c>
      <c r="D158" s="396">
        <v>0</v>
      </c>
      <c r="E158" s="245">
        <v>0</v>
      </c>
      <c r="F158" s="245">
        <v>0</v>
      </c>
      <c r="G158" s="324">
        <v>0</v>
      </c>
      <c r="H158" s="368">
        <f t="shared" si="2"/>
        <v>0</v>
      </c>
    </row>
    <row r="159" spans="1:8">
      <c r="A159" s="271" t="s">
        <v>191</v>
      </c>
      <c r="B159" s="245">
        <v>0</v>
      </c>
      <c r="C159" s="245">
        <v>208.36</v>
      </c>
      <c r="D159" s="396">
        <v>208.36</v>
      </c>
      <c r="E159" s="245">
        <v>136476.19</v>
      </c>
      <c r="F159" s="245">
        <v>52934.55</v>
      </c>
      <c r="G159" s="324">
        <v>63001.83</v>
      </c>
      <c r="H159" s="368">
        <f t="shared" si="2"/>
        <v>252620.93</v>
      </c>
    </row>
    <row r="160" spans="1:8">
      <c r="A160" s="271" t="s">
        <v>192</v>
      </c>
      <c r="B160" s="245">
        <v>107000</v>
      </c>
      <c r="C160" s="245">
        <v>1500</v>
      </c>
      <c r="D160" s="396">
        <v>1500</v>
      </c>
      <c r="E160" s="245">
        <v>2500</v>
      </c>
      <c r="F160" s="245">
        <v>3000</v>
      </c>
      <c r="G160" s="324">
        <v>3500</v>
      </c>
      <c r="H160" s="368">
        <f t="shared" si="2"/>
        <v>117500</v>
      </c>
    </row>
    <row r="161" spans="1:9">
      <c r="A161" s="271" t="s">
        <v>116</v>
      </c>
      <c r="B161" s="245">
        <v>330492422.20999998</v>
      </c>
      <c r="C161" s="245">
        <f>55594502.05+150000000</f>
        <v>205594502.05000001</v>
      </c>
      <c r="D161" s="396">
        <f>7427203.22+150000000</f>
        <v>157427203.22</v>
      </c>
      <c r="E161" s="245">
        <f>140000000+851421291.43</f>
        <v>991421291.42999995</v>
      </c>
      <c r="F161" s="245">
        <v>262734791.63999999</v>
      </c>
      <c r="G161" s="324">
        <v>488316615.56</v>
      </c>
      <c r="H161" s="368">
        <f t="shared" si="2"/>
        <v>2278559622.8899999</v>
      </c>
    </row>
    <row r="162" spans="1:9">
      <c r="A162" s="271" t="s">
        <v>682</v>
      </c>
      <c r="B162" s="245">
        <v>0</v>
      </c>
      <c r="C162" s="245">
        <v>0</v>
      </c>
      <c r="D162" s="396">
        <v>0</v>
      </c>
      <c r="E162" s="245">
        <v>0</v>
      </c>
      <c r="F162" s="245">
        <v>0</v>
      </c>
      <c r="G162" s="324">
        <v>0</v>
      </c>
      <c r="H162" s="368">
        <f t="shared" si="2"/>
        <v>0</v>
      </c>
    </row>
    <row r="163" spans="1:9" ht="17.45">
      <c r="A163" s="273" t="s">
        <v>194</v>
      </c>
      <c r="B163" s="245">
        <v>0</v>
      </c>
      <c r="C163" s="245">
        <v>0</v>
      </c>
      <c r="D163" s="396">
        <v>0</v>
      </c>
      <c r="E163" s="249">
        <v>0</v>
      </c>
      <c r="F163" s="245">
        <v>0</v>
      </c>
      <c r="G163" s="325">
        <v>0</v>
      </c>
      <c r="H163" s="368">
        <f t="shared" si="2"/>
        <v>0</v>
      </c>
    </row>
    <row r="164" spans="1:9">
      <c r="A164" s="271" t="s">
        <v>195</v>
      </c>
      <c r="B164" s="245">
        <v>0</v>
      </c>
      <c r="C164" s="245">
        <v>0</v>
      </c>
      <c r="D164" s="396">
        <v>0</v>
      </c>
      <c r="E164" s="245">
        <v>0</v>
      </c>
      <c r="F164" s="245">
        <v>0</v>
      </c>
      <c r="G164" s="324">
        <v>0</v>
      </c>
      <c r="H164" s="368">
        <f t="shared" si="2"/>
        <v>0</v>
      </c>
      <c r="I164" s="348">
        <f>H161+H160+H159+H156+H153+H152+H151+H150+H149+H148+H147+H146</f>
        <v>4402949396.9217739</v>
      </c>
    </row>
    <row r="165" spans="1:9" ht="18" thickBot="1">
      <c r="A165" s="280" t="s">
        <v>683</v>
      </c>
      <c r="B165" s="249">
        <v>541656314.26999998</v>
      </c>
      <c r="C165" s="389">
        <f>C164+C163+C162+C161+C160+C159+C158+C157+C156+C155+C154+C153+C152+C151+C150+C149+C148+C147+C146</f>
        <v>692122722.78999996</v>
      </c>
      <c r="D165" s="401">
        <f>D164+D163+D162+D161+D160+D159+D158+D157+D156+D155+D154+D153+D152+D151+D150+D149+D148+D147+D146</f>
        <v>643955423.95999992</v>
      </c>
      <c r="E165" s="360">
        <v>1290432856.5799999</v>
      </c>
      <c r="F165" s="249">
        <v>409753838.19999999</v>
      </c>
      <c r="G165" s="340">
        <v>1328983665.0817738</v>
      </c>
      <c r="H165" s="369">
        <f t="shared" si="2"/>
        <v>4262949396.9217734</v>
      </c>
    </row>
    <row r="166" spans="1:9">
      <c r="A166" s="286"/>
      <c r="B166" s="245">
        <v>0</v>
      </c>
      <c r="C166" s="245">
        <v>0</v>
      </c>
      <c r="D166" s="396"/>
      <c r="E166" s="245">
        <v>0</v>
      </c>
      <c r="F166" s="245">
        <v>0</v>
      </c>
      <c r="G166" s="324"/>
      <c r="H166" s="368">
        <f t="shared" si="2"/>
        <v>0</v>
      </c>
    </row>
    <row r="167" spans="1:9">
      <c r="A167" s="281" t="s">
        <v>197</v>
      </c>
      <c r="B167" s="245">
        <v>0</v>
      </c>
      <c r="C167" s="245">
        <v>0</v>
      </c>
      <c r="D167" s="396"/>
      <c r="E167" s="245">
        <v>0</v>
      </c>
      <c r="F167" s="245">
        <v>0</v>
      </c>
      <c r="G167" s="324"/>
      <c r="H167" s="368">
        <f t="shared" si="2"/>
        <v>0</v>
      </c>
    </row>
    <row r="168" spans="1:9" ht="17.45">
      <c r="A168" s="268" t="s">
        <v>198</v>
      </c>
      <c r="B168" s="245">
        <v>0</v>
      </c>
      <c r="C168" s="245">
        <v>161624.04999999999</v>
      </c>
      <c r="D168" s="403">
        <v>161624.04999999999</v>
      </c>
      <c r="E168" s="325">
        <v>515636.65</v>
      </c>
      <c r="F168" s="357">
        <v>134176.82</v>
      </c>
      <c r="G168" s="324">
        <v>167930.9</v>
      </c>
      <c r="H168" s="368">
        <f t="shared" si="2"/>
        <v>979368.42</v>
      </c>
    </row>
    <row r="169" spans="1:9">
      <c r="A169" s="268" t="s">
        <v>199</v>
      </c>
      <c r="B169" s="245">
        <v>0</v>
      </c>
      <c r="C169" s="245">
        <v>0</v>
      </c>
      <c r="D169" s="396">
        <v>0</v>
      </c>
      <c r="E169" s="245">
        <v>0</v>
      </c>
      <c r="F169" s="245">
        <v>0</v>
      </c>
      <c r="G169" s="324">
        <v>0</v>
      </c>
      <c r="H169" s="368">
        <f t="shared" si="2"/>
        <v>0</v>
      </c>
    </row>
    <row r="170" spans="1:9">
      <c r="A170" s="268" t="s">
        <v>200</v>
      </c>
      <c r="B170" s="245">
        <v>0</v>
      </c>
      <c r="C170" s="245">
        <v>0</v>
      </c>
      <c r="D170" s="396">
        <v>0</v>
      </c>
      <c r="E170" s="245">
        <v>148087859.91</v>
      </c>
      <c r="F170" s="245">
        <v>0</v>
      </c>
      <c r="G170" s="324">
        <v>0</v>
      </c>
      <c r="H170" s="368">
        <f t="shared" si="2"/>
        <v>148087859.91</v>
      </c>
    </row>
    <row r="171" spans="1:9">
      <c r="A171" s="287" t="s">
        <v>203</v>
      </c>
      <c r="B171" s="245">
        <v>0</v>
      </c>
      <c r="C171" s="245">
        <v>0</v>
      </c>
      <c r="D171" s="396">
        <v>0</v>
      </c>
      <c r="E171" s="245">
        <v>0</v>
      </c>
      <c r="F171" s="245">
        <v>0</v>
      </c>
      <c r="G171" s="324">
        <v>0</v>
      </c>
      <c r="H171" s="368">
        <f t="shared" si="2"/>
        <v>0</v>
      </c>
    </row>
    <row r="172" spans="1:9">
      <c r="A172" s="287" t="s">
        <v>115</v>
      </c>
      <c r="B172" s="245">
        <v>0</v>
      </c>
      <c r="C172" s="245">
        <v>0</v>
      </c>
      <c r="D172" s="396">
        <v>0</v>
      </c>
      <c r="E172" s="245">
        <v>0</v>
      </c>
      <c r="F172" s="245">
        <v>0</v>
      </c>
      <c r="G172" s="324">
        <v>0</v>
      </c>
      <c r="H172" s="368">
        <f t="shared" si="2"/>
        <v>0</v>
      </c>
    </row>
    <row r="173" spans="1:9" ht="17.45">
      <c r="A173" s="273" t="s">
        <v>205</v>
      </c>
      <c r="B173" s="245">
        <v>0</v>
      </c>
      <c r="C173" s="245">
        <v>5805978.3499999996</v>
      </c>
      <c r="D173" s="403">
        <v>5805978.3499999996</v>
      </c>
      <c r="E173" s="325">
        <v>4534005.0999999996</v>
      </c>
      <c r="F173" s="357">
        <v>4225878.97</v>
      </c>
      <c r="G173" s="324">
        <v>4871618.24</v>
      </c>
      <c r="H173" s="368">
        <f t="shared" si="2"/>
        <v>19437480.659999996</v>
      </c>
    </row>
    <row r="174" spans="1:9">
      <c r="A174" s="287" t="s">
        <v>206</v>
      </c>
      <c r="B174" s="245">
        <v>0</v>
      </c>
      <c r="C174" s="245">
        <v>523211629.57999998</v>
      </c>
      <c r="D174" s="396">
        <v>523211629.57999998</v>
      </c>
      <c r="E174" s="245">
        <v>0</v>
      </c>
      <c r="F174" s="245">
        <v>0</v>
      </c>
      <c r="G174" s="324">
        <v>147638821.03</v>
      </c>
      <c r="H174" s="368">
        <f>B174+C174+E174+F174+G174</f>
        <v>670850450.61000001</v>
      </c>
    </row>
    <row r="175" spans="1:9" ht="17.45">
      <c r="A175" s="287" t="s">
        <v>207</v>
      </c>
      <c r="B175" s="245">
        <v>0</v>
      </c>
      <c r="C175" s="245">
        <v>0</v>
      </c>
      <c r="D175" s="396">
        <v>0</v>
      </c>
      <c r="E175" s="245">
        <v>11777135.060000001</v>
      </c>
      <c r="F175" s="245">
        <v>0</v>
      </c>
      <c r="G175" s="325">
        <v>0</v>
      </c>
      <c r="H175" s="368">
        <f t="shared" si="2"/>
        <v>11777135.060000001</v>
      </c>
    </row>
    <row r="176" spans="1:9">
      <c r="A176" s="273" t="s">
        <v>116</v>
      </c>
      <c r="B176" s="245">
        <v>67619967.519999996</v>
      </c>
      <c r="C176" s="245">
        <v>82563605.379999995</v>
      </c>
      <c r="D176" s="396">
        <v>82563605.379999995</v>
      </c>
      <c r="E176" s="245"/>
      <c r="F176" s="245">
        <v>145458019.35000002</v>
      </c>
      <c r="G176" s="324">
        <v>23720646.09</v>
      </c>
      <c r="H176" s="368">
        <f t="shared" si="2"/>
        <v>319362238.33999997</v>
      </c>
    </row>
    <row r="177" spans="1:11" ht="18" thickBot="1">
      <c r="A177" s="288" t="s">
        <v>684</v>
      </c>
      <c r="B177" s="249">
        <v>67619967.519999996</v>
      </c>
      <c r="C177" s="249">
        <v>611742837.3599999</v>
      </c>
      <c r="D177" s="401">
        <v>611742837.3599999</v>
      </c>
      <c r="E177" s="249">
        <f>E175+E173+E170</f>
        <v>164399000.06999999</v>
      </c>
      <c r="F177" s="249">
        <v>149818075.14000002</v>
      </c>
      <c r="G177" s="340">
        <v>176399016.26000002</v>
      </c>
      <c r="H177" s="369">
        <f t="shared" si="2"/>
        <v>1169978896.3499999</v>
      </c>
    </row>
    <row r="178" spans="1:11">
      <c r="A178" s="287"/>
      <c r="B178" s="245">
        <v>0</v>
      </c>
      <c r="C178" s="245">
        <v>0</v>
      </c>
      <c r="D178" s="396"/>
      <c r="E178" s="245">
        <v>0</v>
      </c>
      <c r="F178" s="245">
        <v>0</v>
      </c>
      <c r="G178" s="324"/>
      <c r="H178" s="368">
        <f t="shared" si="2"/>
        <v>0</v>
      </c>
    </row>
    <row r="179" spans="1:11">
      <c r="A179" s="281" t="s">
        <v>209</v>
      </c>
      <c r="B179" s="245">
        <v>0</v>
      </c>
      <c r="C179" s="245">
        <v>0</v>
      </c>
      <c r="D179" s="396"/>
      <c r="E179" s="245"/>
      <c r="F179" s="245">
        <v>0</v>
      </c>
      <c r="G179" s="324"/>
      <c r="H179" s="368">
        <f t="shared" si="2"/>
        <v>0</v>
      </c>
    </row>
    <row r="180" spans="1:11">
      <c r="A180" s="283" t="s">
        <v>210</v>
      </c>
      <c r="B180" s="245"/>
      <c r="C180" s="245">
        <v>0</v>
      </c>
      <c r="D180" s="396">
        <v>0</v>
      </c>
      <c r="E180" s="245">
        <v>0</v>
      </c>
      <c r="F180" s="245">
        <v>136956.63</v>
      </c>
      <c r="G180" s="324">
        <v>747616.14999999991</v>
      </c>
      <c r="H180" s="368">
        <f t="shared" si="2"/>
        <v>884572.77999999991</v>
      </c>
    </row>
    <row r="181" spans="1:11">
      <c r="A181" s="286" t="s">
        <v>211</v>
      </c>
      <c r="B181" s="245"/>
      <c r="C181" s="245">
        <v>0</v>
      </c>
      <c r="D181" s="396">
        <v>0</v>
      </c>
      <c r="E181" s="245">
        <v>508196.91</v>
      </c>
      <c r="F181" s="245">
        <v>0</v>
      </c>
      <c r="G181" s="324">
        <v>0</v>
      </c>
      <c r="H181" s="368">
        <f t="shared" si="2"/>
        <v>508196.91</v>
      </c>
    </row>
    <row r="182" spans="1:11">
      <c r="A182" s="286" t="s">
        <v>212</v>
      </c>
      <c r="B182" s="245">
        <f>12314091.59</f>
        <v>12314091.59</v>
      </c>
      <c r="C182" s="245">
        <v>13977486.220000001</v>
      </c>
      <c r="D182" s="396">
        <v>13977486.220000001</v>
      </c>
      <c r="E182" s="245">
        <v>1870156.43</v>
      </c>
      <c r="F182" s="245">
        <v>3031227.87</v>
      </c>
      <c r="G182" s="324">
        <v>21118061.699999999</v>
      </c>
      <c r="H182" s="368">
        <f t="shared" si="2"/>
        <v>52311023.810000002</v>
      </c>
    </row>
    <row r="183" spans="1:11">
      <c r="A183" s="286" t="s">
        <v>685</v>
      </c>
      <c r="B183" s="245"/>
      <c r="C183" s="245">
        <v>0</v>
      </c>
      <c r="D183" s="396">
        <v>0</v>
      </c>
      <c r="E183" s="245">
        <v>11247798.539999999</v>
      </c>
      <c r="F183" s="245">
        <v>0</v>
      </c>
      <c r="G183" s="324">
        <v>0</v>
      </c>
      <c r="H183" s="368">
        <f t="shared" si="2"/>
        <v>11247798.539999999</v>
      </c>
    </row>
    <row r="184" spans="1:11">
      <c r="A184" s="286" t="s">
        <v>214</v>
      </c>
      <c r="B184" s="245">
        <v>28060.06</v>
      </c>
      <c r="C184" s="245">
        <v>27525.759999999998</v>
      </c>
      <c r="D184" s="396">
        <v>27525.759999999998</v>
      </c>
      <c r="E184" s="245">
        <v>3559.18</v>
      </c>
      <c r="F184" s="245">
        <v>6264.54</v>
      </c>
      <c r="G184" s="324">
        <v>57920.009999999995</v>
      </c>
      <c r="H184" s="368">
        <f t="shared" si="2"/>
        <v>123329.54999999999</v>
      </c>
    </row>
    <row r="185" spans="1:11">
      <c r="A185" s="286" t="s">
        <v>215</v>
      </c>
      <c r="B185" s="245">
        <v>4234604.03</v>
      </c>
      <c r="C185" s="245">
        <v>53330372.890000001</v>
      </c>
      <c r="D185" s="396">
        <f>203330372.89-150000000</f>
        <v>53330372.889999986</v>
      </c>
      <c r="E185" s="245">
        <f>176405555.6-140000000</f>
        <v>36405555.599999994</v>
      </c>
      <c r="F185" s="245">
        <v>1014539.59</v>
      </c>
      <c r="G185" s="324">
        <v>10706980.85</v>
      </c>
      <c r="H185" s="368">
        <f t="shared" si="2"/>
        <v>105692052.95999999</v>
      </c>
      <c r="J185" s="348">
        <f>E153+H185</f>
        <v>313350633.70999998</v>
      </c>
      <c r="K185" s="318">
        <f>'[2]To date'!$M$187</f>
        <v>708946013.82000005</v>
      </c>
    </row>
    <row r="186" spans="1:11">
      <c r="A186" s="286" t="s">
        <v>216</v>
      </c>
      <c r="B186" s="245"/>
      <c r="C186" s="245">
        <v>0</v>
      </c>
      <c r="D186" s="396">
        <v>0</v>
      </c>
      <c r="E186" s="245">
        <v>3764592.25</v>
      </c>
      <c r="F186" s="245">
        <v>0</v>
      </c>
      <c r="G186" s="324">
        <v>0</v>
      </c>
      <c r="H186" s="368">
        <f t="shared" si="2"/>
        <v>3764592.25</v>
      </c>
    </row>
    <row r="187" spans="1:11" ht="17.45">
      <c r="A187" s="286" t="s">
        <v>217</v>
      </c>
      <c r="B187" s="245">
        <v>947641.53</v>
      </c>
      <c r="C187" s="245">
        <v>1166916.93</v>
      </c>
      <c r="D187" s="403">
        <v>1166916.93</v>
      </c>
      <c r="E187" s="325">
        <v>158741.54</v>
      </c>
      <c r="F187" s="357">
        <v>212688.67</v>
      </c>
      <c r="G187" s="324">
        <v>2264632.36</v>
      </c>
      <c r="H187" s="368">
        <f t="shared" si="2"/>
        <v>4750621.0299999993</v>
      </c>
      <c r="J187" s="348">
        <f>H187+E155</f>
        <v>4750621.0299999993</v>
      </c>
      <c r="K187" s="348">
        <f>K185+H185+E153</f>
        <v>1022296647.5300001</v>
      </c>
    </row>
    <row r="188" spans="1:11">
      <c r="A188" s="286" t="s">
        <v>686</v>
      </c>
      <c r="B188" s="245">
        <v>31103993.379999999</v>
      </c>
      <c r="C188" s="245">
        <v>31490559.34</v>
      </c>
      <c r="D188" s="396">
        <v>31490559.34</v>
      </c>
      <c r="E188" s="245">
        <v>5903351.9900000002</v>
      </c>
      <c r="F188" s="245">
        <v>0</v>
      </c>
      <c r="G188" s="324">
        <v>0</v>
      </c>
      <c r="H188" s="368">
        <f t="shared" si="2"/>
        <v>68497904.709999993</v>
      </c>
    </row>
    <row r="189" spans="1:11">
      <c r="A189" s="286" t="s">
        <v>219</v>
      </c>
      <c r="B189" s="245">
        <v>446620.94</v>
      </c>
      <c r="C189" s="245">
        <v>397041.37</v>
      </c>
      <c r="D189" s="396">
        <v>397041.37</v>
      </c>
      <c r="E189" s="245">
        <v>49979.34</v>
      </c>
      <c r="F189" s="245">
        <v>62916.95</v>
      </c>
      <c r="G189" s="324">
        <v>401276.53</v>
      </c>
      <c r="H189" s="368">
        <f t="shared" si="2"/>
        <v>1357835.13</v>
      </c>
    </row>
    <row r="190" spans="1:11">
      <c r="A190" s="286" t="s">
        <v>158</v>
      </c>
      <c r="B190" s="245"/>
      <c r="C190" s="245">
        <v>1904503.42</v>
      </c>
      <c r="D190" s="396">
        <v>1904503.42</v>
      </c>
      <c r="E190" s="245">
        <v>318374.22000000003</v>
      </c>
      <c r="F190" s="245">
        <v>1679197.38</v>
      </c>
      <c r="G190" s="324">
        <v>1178578.9100000001</v>
      </c>
      <c r="H190" s="368">
        <f t="shared" si="2"/>
        <v>5080653.93</v>
      </c>
    </row>
    <row r="191" spans="1:11" ht="17.45">
      <c r="A191" s="246" t="s">
        <v>220</v>
      </c>
      <c r="B191" s="245"/>
      <c r="C191" s="245">
        <v>0</v>
      </c>
      <c r="D191" s="396">
        <v>0</v>
      </c>
      <c r="E191" s="245">
        <v>148582.56</v>
      </c>
      <c r="F191" s="245">
        <v>0</v>
      </c>
      <c r="G191" s="325">
        <v>0</v>
      </c>
      <c r="H191" s="368">
        <f t="shared" si="2"/>
        <v>148582.56</v>
      </c>
    </row>
    <row r="192" spans="1:11" ht="17.45">
      <c r="A192" s="246" t="s">
        <v>221</v>
      </c>
      <c r="B192" s="245"/>
      <c r="C192" s="245">
        <v>0</v>
      </c>
      <c r="D192" s="403">
        <v>0</v>
      </c>
      <c r="E192" s="325">
        <v>1596215.0799999998</v>
      </c>
      <c r="F192" s="357">
        <v>0</v>
      </c>
      <c r="G192" s="324">
        <v>0</v>
      </c>
      <c r="H192" s="368">
        <f t="shared" si="2"/>
        <v>1596215.0799999998</v>
      </c>
    </row>
    <row r="193" spans="1:8" ht="18" thickBot="1">
      <c r="A193" s="289" t="s">
        <v>687</v>
      </c>
      <c r="B193" s="385">
        <f>SUM(B180:B192)</f>
        <v>49075011.530000001</v>
      </c>
      <c r="C193" s="249">
        <f>C192+C191+C190+C189+C188+C187+C186+C185+C184+C183+C182+C181+C180+C179</f>
        <v>102294405.93000001</v>
      </c>
      <c r="D193" s="401">
        <f>D192+D191+D190+D189+D188+D187+D186+D185+D184+D183+D182+D181+D180+D179+D178</f>
        <v>102294405.92999999</v>
      </c>
      <c r="E193" s="360">
        <v>201975103.64000002</v>
      </c>
      <c r="F193" s="249">
        <v>6143791.6299999999</v>
      </c>
      <c r="G193" s="340">
        <v>36475066.510000005</v>
      </c>
      <c r="H193" s="369">
        <f t="shared" si="2"/>
        <v>395963379.24000001</v>
      </c>
    </row>
    <row r="194" spans="1:8" ht="17.45">
      <c r="A194" s="290"/>
      <c r="B194" s="386"/>
      <c r="C194" s="245">
        <v>0</v>
      </c>
      <c r="D194" s="396"/>
      <c r="E194" s="245">
        <v>0</v>
      </c>
      <c r="F194" s="245">
        <v>0</v>
      </c>
      <c r="G194" s="324"/>
      <c r="H194" s="368">
        <f t="shared" si="2"/>
        <v>0</v>
      </c>
    </row>
    <row r="195" spans="1:8">
      <c r="A195" s="267"/>
      <c r="B195" s="245"/>
      <c r="C195" s="245">
        <v>0</v>
      </c>
      <c r="D195" s="396"/>
      <c r="E195" s="245">
        <v>0</v>
      </c>
      <c r="F195" s="245">
        <v>0</v>
      </c>
      <c r="G195" s="324"/>
      <c r="H195" s="368">
        <f t="shared" si="2"/>
        <v>0</v>
      </c>
    </row>
    <row r="196" spans="1:8" ht="17.45">
      <c r="A196" s="267" t="s">
        <v>688</v>
      </c>
      <c r="B196" s="245"/>
      <c r="C196" s="245">
        <v>0</v>
      </c>
      <c r="D196" s="396"/>
      <c r="E196" s="245">
        <v>0</v>
      </c>
      <c r="F196" s="245">
        <v>0</v>
      </c>
      <c r="G196" s="325"/>
      <c r="H196" s="368">
        <f t="shared" si="2"/>
        <v>0</v>
      </c>
    </row>
    <row r="197" spans="1:8">
      <c r="A197" s="268" t="s">
        <v>116</v>
      </c>
      <c r="B197" s="245"/>
      <c r="C197" s="245">
        <v>0</v>
      </c>
      <c r="D197" s="396">
        <v>0</v>
      </c>
      <c r="E197" s="245">
        <v>0</v>
      </c>
      <c r="F197" s="245">
        <v>0</v>
      </c>
      <c r="G197" s="324">
        <v>0</v>
      </c>
      <c r="H197" s="368">
        <f t="shared" si="2"/>
        <v>0</v>
      </c>
    </row>
    <row r="198" spans="1:8" ht="18" thickBot="1">
      <c r="A198" s="272" t="s">
        <v>689</v>
      </c>
      <c r="B198" s="338">
        <f>SUM(B197)</f>
        <v>0</v>
      </c>
      <c r="C198" s="249">
        <v>0</v>
      </c>
      <c r="D198" s="401">
        <v>0</v>
      </c>
      <c r="E198" s="249">
        <v>0</v>
      </c>
      <c r="F198" s="249">
        <v>0</v>
      </c>
      <c r="G198" s="341">
        <v>0</v>
      </c>
      <c r="H198" s="369">
        <f t="shared" si="2"/>
        <v>0</v>
      </c>
    </row>
    <row r="199" spans="1:8">
      <c r="A199" s="273"/>
      <c r="B199" s="245"/>
      <c r="C199" s="245">
        <v>0</v>
      </c>
      <c r="D199" s="396"/>
      <c r="E199" s="245">
        <v>0</v>
      </c>
      <c r="F199" s="245">
        <v>0</v>
      </c>
      <c r="G199" s="324"/>
      <c r="H199" s="368">
        <f t="shared" si="2"/>
        <v>0</v>
      </c>
    </row>
    <row r="200" spans="1:8">
      <c r="A200" s="267" t="s">
        <v>225</v>
      </c>
      <c r="B200" s="245"/>
      <c r="C200" s="245">
        <v>0</v>
      </c>
      <c r="D200" s="396"/>
      <c r="E200" s="245">
        <v>0</v>
      </c>
      <c r="F200" s="245">
        <v>0</v>
      </c>
      <c r="G200" s="324"/>
      <c r="H200" s="368">
        <f t="shared" si="2"/>
        <v>0</v>
      </c>
    </row>
    <row r="201" spans="1:8" ht="17.45">
      <c r="A201" s="287" t="s">
        <v>226</v>
      </c>
      <c r="B201" s="245"/>
      <c r="C201" s="245">
        <v>0</v>
      </c>
      <c r="D201" s="396">
        <v>0</v>
      </c>
      <c r="E201" s="245">
        <v>0</v>
      </c>
      <c r="F201" s="245">
        <v>0</v>
      </c>
      <c r="G201" s="325">
        <v>0</v>
      </c>
      <c r="H201" s="368">
        <f t="shared" ref="H201:H264" si="3">B201+C201+E201+F201+G201</f>
        <v>0</v>
      </c>
    </row>
    <row r="202" spans="1:8">
      <c r="A202" s="271" t="s">
        <v>116</v>
      </c>
      <c r="B202" s="245">
        <f>10958+500+142002.45+14692.42+500+286298.7+23312.18+1500+500</f>
        <v>480263.75000000006</v>
      </c>
      <c r="C202" s="245">
        <v>0</v>
      </c>
      <c r="D202" s="396">
        <v>0</v>
      </c>
      <c r="E202" s="245">
        <v>0</v>
      </c>
      <c r="F202" s="245">
        <v>354390.94</v>
      </c>
      <c r="G202" s="324">
        <v>902711.86</v>
      </c>
      <c r="H202" s="368">
        <f t="shared" si="3"/>
        <v>1737366.55</v>
      </c>
    </row>
    <row r="203" spans="1:8" ht="18" thickBot="1">
      <c r="A203" s="276" t="s">
        <v>690</v>
      </c>
      <c r="B203" s="387">
        <f>SUM(B201:B202)</f>
        <v>480263.75000000006</v>
      </c>
      <c r="C203" s="249">
        <v>0</v>
      </c>
      <c r="D203" s="401">
        <v>0</v>
      </c>
      <c r="E203" s="247">
        <v>0</v>
      </c>
      <c r="F203" s="249">
        <v>354390.94</v>
      </c>
      <c r="G203" s="340">
        <v>902711.86</v>
      </c>
      <c r="H203" s="369">
        <f t="shared" si="3"/>
        <v>1737366.55</v>
      </c>
    </row>
    <row r="204" spans="1:8">
      <c r="A204" s="271"/>
      <c r="B204" s="245"/>
      <c r="C204" s="245">
        <v>0</v>
      </c>
      <c r="D204" s="396"/>
      <c r="E204" s="245">
        <v>0</v>
      </c>
      <c r="F204" s="245">
        <v>0</v>
      </c>
      <c r="G204" s="324"/>
      <c r="H204" s="368">
        <f t="shared" si="3"/>
        <v>0</v>
      </c>
    </row>
    <row r="205" spans="1:8">
      <c r="A205" s="267" t="s">
        <v>691</v>
      </c>
      <c r="B205" s="245"/>
      <c r="C205" s="245">
        <v>0</v>
      </c>
      <c r="D205" s="396"/>
      <c r="E205" s="245">
        <v>0</v>
      </c>
      <c r="F205" s="245">
        <v>0</v>
      </c>
      <c r="G205" s="324"/>
      <c r="H205" s="368">
        <f t="shared" si="3"/>
        <v>0</v>
      </c>
    </row>
    <row r="206" spans="1:8" ht="17.45">
      <c r="A206" s="284" t="s">
        <v>229</v>
      </c>
      <c r="B206" s="388"/>
      <c r="C206" s="245">
        <v>0</v>
      </c>
      <c r="D206" s="396">
        <v>0</v>
      </c>
      <c r="E206" s="245">
        <v>0</v>
      </c>
      <c r="F206" s="245">
        <v>0</v>
      </c>
      <c r="G206" s="325">
        <v>0</v>
      </c>
      <c r="H206" s="368">
        <f t="shared" si="3"/>
        <v>0</v>
      </c>
    </row>
    <row r="207" spans="1:8">
      <c r="A207" s="287" t="s">
        <v>230</v>
      </c>
      <c r="B207" s="245"/>
      <c r="C207" s="245">
        <v>0</v>
      </c>
      <c r="D207" s="396">
        <v>0</v>
      </c>
      <c r="E207" s="245">
        <v>0</v>
      </c>
      <c r="F207" s="245">
        <v>0</v>
      </c>
      <c r="G207" s="324">
        <v>0</v>
      </c>
      <c r="H207" s="368">
        <f t="shared" si="3"/>
        <v>0</v>
      </c>
    </row>
    <row r="208" spans="1:8" ht="17.45">
      <c r="A208" s="272" t="s">
        <v>692</v>
      </c>
      <c r="B208" s="249">
        <v>0</v>
      </c>
      <c r="C208" s="249">
        <v>0</v>
      </c>
      <c r="D208" s="401">
        <v>0</v>
      </c>
      <c r="E208" s="249">
        <v>0</v>
      </c>
      <c r="F208" s="249">
        <v>0</v>
      </c>
      <c r="G208" s="324">
        <v>0</v>
      </c>
      <c r="H208" s="368">
        <f t="shared" si="3"/>
        <v>0</v>
      </c>
    </row>
    <row r="209" spans="1:8">
      <c r="A209" s="271"/>
      <c r="B209" s="245">
        <v>0</v>
      </c>
      <c r="C209" s="245">
        <v>0</v>
      </c>
      <c r="D209" s="396"/>
      <c r="E209" s="245">
        <v>0</v>
      </c>
      <c r="F209" s="245">
        <v>0</v>
      </c>
      <c r="G209" s="324"/>
      <c r="H209" s="368">
        <f t="shared" si="3"/>
        <v>0</v>
      </c>
    </row>
    <row r="210" spans="1:8">
      <c r="A210" s="267" t="s">
        <v>693</v>
      </c>
      <c r="B210" s="245">
        <v>0</v>
      </c>
      <c r="C210" s="245">
        <v>0</v>
      </c>
      <c r="D210" s="396"/>
      <c r="E210" s="245">
        <v>440500</v>
      </c>
      <c r="F210" s="245">
        <v>0</v>
      </c>
      <c r="G210" s="324"/>
      <c r="H210" s="368">
        <f t="shared" si="3"/>
        <v>440500</v>
      </c>
    </row>
    <row r="211" spans="1:8">
      <c r="A211" s="271" t="s">
        <v>233</v>
      </c>
      <c r="B211" s="245">
        <v>1297200</v>
      </c>
      <c r="C211" s="245">
        <v>921500</v>
      </c>
      <c r="D211" s="396">
        <v>921500</v>
      </c>
      <c r="E211" s="245">
        <v>32740966.309999999</v>
      </c>
      <c r="F211" s="245">
        <v>8000</v>
      </c>
      <c r="G211" s="324">
        <v>6150057.2199999997</v>
      </c>
      <c r="H211" s="368">
        <f t="shared" si="3"/>
        <v>41117723.530000001</v>
      </c>
    </row>
    <row r="212" spans="1:8">
      <c r="A212" s="277" t="s">
        <v>694</v>
      </c>
      <c r="B212" s="245">
        <v>0</v>
      </c>
      <c r="C212" s="245">
        <v>6218506.6200000001</v>
      </c>
      <c r="D212" s="396">
        <v>6218506.6200000001</v>
      </c>
      <c r="E212" s="245">
        <v>0</v>
      </c>
      <c r="F212" s="245">
        <v>8823533.6899999995</v>
      </c>
      <c r="G212" s="324">
        <v>73456202.799999997</v>
      </c>
      <c r="H212" s="368">
        <f t="shared" si="3"/>
        <v>88498243.109999999</v>
      </c>
    </row>
    <row r="213" spans="1:8" ht="17.45">
      <c r="A213" s="271" t="s">
        <v>235</v>
      </c>
      <c r="B213" s="245">
        <v>0</v>
      </c>
      <c r="C213" s="245">
        <v>0</v>
      </c>
      <c r="D213" s="403">
        <v>0</v>
      </c>
      <c r="E213" s="325">
        <v>0</v>
      </c>
      <c r="F213" s="357">
        <v>0</v>
      </c>
      <c r="G213" s="324">
        <v>0</v>
      </c>
      <c r="H213" s="368">
        <f t="shared" si="3"/>
        <v>0</v>
      </c>
    </row>
    <row r="214" spans="1:8">
      <c r="A214" s="268" t="s">
        <v>236</v>
      </c>
      <c r="B214" s="245">
        <v>0</v>
      </c>
      <c r="C214" s="245">
        <v>0</v>
      </c>
      <c r="D214" s="396">
        <v>0</v>
      </c>
      <c r="E214" s="245">
        <v>0</v>
      </c>
      <c r="F214" s="245">
        <v>0</v>
      </c>
      <c r="G214" s="324">
        <v>0</v>
      </c>
      <c r="H214" s="368">
        <f t="shared" si="3"/>
        <v>0</v>
      </c>
    </row>
    <row r="215" spans="1:8" ht="17.45">
      <c r="A215" s="268" t="s">
        <v>237</v>
      </c>
      <c r="B215" s="245">
        <v>0</v>
      </c>
      <c r="C215" s="245">
        <v>3000</v>
      </c>
      <c r="D215" s="396">
        <v>3000</v>
      </c>
      <c r="E215" s="245">
        <v>38646.01</v>
      </c>
      <c r="F215" s="245">
        <v>0</v>
      </c>
      <c r="G215" s="325">
        <v>0</v>
      </c>
      <c r="H215" s="368">
        <f t="shared" si="3"/>
        <v>41646.01</v>
      </c>
    </row>
    <row r="216" spans="1:8">
      <c r="A216" s="268" t="s">
        <v>158</v>
      </c>
      <c r="B216" s="245">
        <v>1264376.1499999999</v>
      </c>
      <c r="C216" s="245">
        <v>1453233.91</v>
      </c>
      <c r="D216" s="396">
        <v>1453233.91</v>
      </c>
      <c r="E216" s="245"/>
      <c r="F216" s="245">
        <v>1197093.07</v>
      </c>
      <c r="G216" s="324">
        <v>188200</v>
      </c>
      <c r="H216" s="368">
        <f t="shared" si="3"/>
        <v>4102903.13</v>
      </c>
    </row>
    <row r="217" spans="1:8" ht="18" thickBot="1">
      <c r="A217" s="272" t="s">
        <v>695</v>
      </c>
      <c r="B217" s="249">
        <v>2561576.15</v>
      </c>
      <c r="C217" s="249">
        <v>8596240.5299999993</v>
      </c>
      <c r="D217" s="401">
        <v>8596240.5299999993</v>
      </c>
      <c r="E217" s="360">
        <v>33220112.32</v>
      </c>
      <c r="F217" s="249">
        <v>10028626.76</v>
      </c>
      <c r="G217" s="340">
        <v>79794460.019999996</v>
      </c>
      <c r="H217" s="369">
        <f t="shared" si="3"/>
        <v>134201015.78</v>
      </c>
    </row>
    <row r="218" spans="1:8">
      <c r="A218" s="270"/>
      <c r="B218" s="245">
        <v>0</v>
      </c>
      <c r="C218" s="245">
        <v>0</v>
      </c>
      <c r="D218" s="396"/>
      <c r="E218" s="245">
        <v>0</v>
      </c>
      <c r="F218" s="245">
        <v>0</v>
      </c>
      <c r="G218" s="324"/>
      <c r="H218" s="368">
        <f t="shared" si="3"/>
        <v>0</v>
      </c>
    </row>
    <row r="219" spans="1:8" ht="17.45">
      <c r="A219" s="270" t="s">
        <v>239</v>
      </c>
      <c r="B219" s="245">
        <v>0</v>
      </c>
      <c r="C219" s="245">
        <v>0</v>
      </c>
      <c r="D219" s="396"/>
      <c r="E219" s="245">
        <v>0</v>
      </c>
      <c r="F219" s="245">
        <v>0</v>
      </c>
      <c r="G219" s="325"/>
      <c r="H219" s="368">
        <f t="shared" si="3"/>
        <v>0</v>
      </c>
    </row>
    <row r="220" spans="1:8">
      <c r="A220" s="268" t="s">
        <v>240</v>
      </c>
      <c r="B220" s="245">
        <v>425540</v>
      </c>
      <c r="C220" s="245">
        <v>68720</v>
      </c>
      <c r="D220" s="396">
        <v>68720</v>
      </c>
      <c r="E220" s="245">
        <v>693740</v>
      </c>
      <c r="F220" s="245">
        <v>250400</v>
      </c>
      <c r="G220" s="324">
        <v>131100</v>
      </c>
      <c r="H220" s="368">
        <f t="shared" si="3"/>
        <v>1569500</v>
      </c>
    </row>
    <row r="221" spans="1:8" ht="18" thickBot="1">
      <c r="A221" s="291" t="s">
        <v>239</v>
      </c>
      <c r="B221" s="249">
        <v>425540</v>
      </c>
      <c r="C221" s="249">
        <v>68720</v>
      </c>
      <c r="D221" s="401">
        <v>68720</v>
      </c>
      <c r="E221" s="360">
        <v>693740</v>
      </c>
      <c r="F221" s="249">
        <v>250400</v>
      </c>
      <c r="G221" s="341">
        <v>131100</v>
      </c>
      <c r="H221" s="369">
        <f t="shared" si="3"/>
        <v>1569500</v>
      </c>
    </row>
    <row r="222" spans="1:8">
      <c r="A222" s="271"/>
      <c r="B222" s="245">
        <v>0</v>
      </c>
      <c r="C222" s="245">
        <v>0</v>
      </c>
      <c r="D222" s="396"/>
      <c r="E222" s="245">
        <v>0</v>
      </c>
      <c r="F222" s="245">
        <v>0</v>
      </c>
      <c r="G222" s="324"/>
      <c r="H222" s="368">
        <f t="shared" si="3"/>
        <v>0</v>
      </c>
    </row>
    <row r="223" spans="1:8">
      <c r="A223" s="270" t="s">
        <v>696</v>
      </c>
      <c r="B223" s="245">
        <v>0</v>
      </c>
      <c r="C223" s="245">
        <v>0</v>
      </c>
      <c r="D223" s="396"/>
      <c r="E223" s="245">
        <v>0</v>
      </c>
      <c r="F223" s="245">
        <v>0</v>
      </c>
      <c r="G223" s="324"/>
      <c r="H223" s="368">
        <f t="shared" si="3"/>
        <v>0</v>
      </c>
    </row>
    <row r="224" spans="1:8">
      <c r="A224" s="287" t="s">
        <v>697</v>
      </c>
      <c r="B224" s="245">
        <v>0</v>
      </c>
      <c r="C224" s="245">
        <v>0</v>
      </c>
      <c r="D224" s="396">
        <v>0</v>
      </c>
      <c r="E224" s="245">
        <v>0</v>
      </c>
      <c r="F224" s="245">
        <v>0</v>
      </c>
      <c r="G224" s="324">
        <v>0</v>
      </c>
      <c r="H224" s="368">
        <f t="shared" si="3"/>
        <v>0</v>
      </c>
    </row>
    <row r="225" spans="1:8">
      <c r="A225" s="287" t="s">
        <v>698</v>
      </c>
      <c r="B225" s="245">
        <v>0</v>
      </c>
      <c r="C225" s="245">
        <v>0</v>
      </c>
      <c r="D225" s="396">
        <v>0</v>
      </c>
      <c r="E225" s="245">
        <v>0</v>
      </c>
      <c r="F225" s="245">
        <v>0</v>
      </c>
      <c r="G225" s="324">
        <v>0</v>
      </c>
      <c r="H225" s="368">
        <f t="shared" si="3"/>
        <v>0</v>
      </c>
    </row>
    <row r="226" spans="1:8" ht="17.45">
      <c r="A226" s="287" t="s">
        <v>699</v>
      </c>
      <c r="B226" s="245">
        <v>0</v>
      </c>
      <c r="C226" s="245">
        <v>0</v>
      </c>
      <c r="D226" s="396">
        <v>0</v>
      </c>
      <c r="E226" s="245">
        <v>0</v>
      </c>
      <c r="F226" s="245">
        <v>0</v>
      </c>
      <c r="G226" s="325">
        <v>0</v>
      </c>
      <c r="H226" s="368">
        <f t="shared" si="3"/>
        <v>0</v>
      </c>
    </row>
    <row r="227" spans="1:8">
      <c r="A227" s="287" t="s">
        <v>129</v>
      </c>
      <c r="B227" s="245">
        <v>0</v>
      </c>
      <c r="C227" s="245">
        <v>226941363</v>
      </c>
      <c r="D227" s="396">
        <v>226941363</v>
      </c>
      <c r="E227" s="245">
        <v>76000000</v>
      </c>
      <c r="F227" s="245">
        <v>0</v>
      </c>
      <c r="G227" s="324">
        <v>0</v>
      </c>
      <c r="H227" s="368">
        <f t="shared" si="3"/>
        <v>302941363</v>
      </c>
    </row>
    <row r="228" spans="1:8" ht="18" thickBot="1">
      <c r="A228" s="291" t="s">
        <v>700</v>
      </c>
      <c r="B228" s="249">
        <v>0</v>
      </c>
      <c r="C228" s="249">
        <v>226941363</v>
      </c>
      <c r="D228" s="401">
        <v>226941363</v>
      </c>
      <c r="E228" s="249">
        <v>76000000</v>
      </c>
      <c r="F228" s="249">
        <v>0</v>
      </c>
      <c r="G228" s="341">
        <v>0</v>
      </c>
      <c r="H228" s="369">
        <f t="shared" si="3"/>
        <v>302941363</v>
      </c>
    </row>
    <row r="229" spans="1:8" ht="17.45">
      <c r="A229" s="270"/>
      <c r="B229" s="245">
        <v>0</v>
      </c>
      <c r="C229" s="245">
        <v>0</v>
      </c>
      <c r="D229" s="396"/>
      <c r="E229" s="359"/>
      <c r="F229" s="245">
        <v>0</v>
      </c>
      <c r="G229" s="324"/>
      <c r="H229" s="368">
        <f t="shared" si="3"/>
        <v>0</v>
      </c>
    </row>
    <row r="230" spans="1:8" ht="17.45">
      <c r="A230" s="292" t="s">
        <v>243</v>
      </c>
      <c r="B230" s="245">
        <v>0</v>
      </c>
      <c r="C230" s="245">
        <v>0</v>
      </c>
      <c r="D230" s="396"/>
      <c r="E230" s="359"/>
      <c r="F230" s="245">
        <v>0</v>
      </c>
      <c r="G230" s="324"/>
      <c r="H230" s="368">
        <f t="shared" si="3"/>
        <v>0</v>
      </c>
    </row>
    <row r="231" spans="1:8" ht="17.45">
      <c r="A231" s="271" t="s">
        <v>244</v>
      </c>
      <c r="B231" s="245">
        <v>0</v>
      </c>
      <c r="C231" s="245">
        <v>0</v>
      </c>
      <c r="D231" s="396"/>
      <c r="E231" s="359"/>
      <c r="F231" s="245">
        <v>0</v>
      </c>
      <c r="G231" s="324">
        <v>0</v>
      </c>
      <c r="H231" s="368">
        <f t="shared" si="3"/>
        <v>0</v>
      </c>
    </row>
    <row r="232" spans="1:8">
      <c r="A232" s="268" t="s">
        <v>245</v>
      </c>
      <c r="B232" s="245">
        <v>25260431.690000001</v>
      </c>
      <c r="C232" s="245">
        <v>0</v>
      </c>
      <c r="D232" s="396">
        <v>0</v>
      </c>
      <c r="E232" s="245">
        <v>5566.15</v>
      </c>
      <c r="F232" s="245">
        <v>21679997.829999998</v>
      </c>
      <c r="G232" s="324">
        <v>16138840.23</v>
      </c>
      <c r="H232" s="368">
        <f t="shared" si="3"/>
        <v>63084835.900000006</v>
      </c>
    </row>
    <row r="233" spans="1:8">
      <c r="A233" s="273" t="s">
        <v>246</v>
      </c>
      <c r="B233" s="245">
        <v>0</v>
      </c>
      <c r="C233" s="245">
        <v>0</v>
      </c>
      <c r="D233" s="396"/>
      <c r="E233" s="245">
        <v>0</v>
      </c>
      <c r="F233" s="245">
        <v>0</v>
      </c>
      <c r="G233" s="324">
        <v>0</v>
      </c>
      <c r="H233" s="368">
        <f t="shared" si="3"/>
        <v>0</v>
      </c>
    </row>
    <row r="234" spans="1:8">
      <c r="A234" s="268" t="s">
        <v>247</v>
      </c>
      <c r="B234" s="245">
        <v>0</v>
      </c>
      <c r="C234" s="245">
        <v>0</v>
      </c>
      <c r="D234" s="396"/>
      <c r="E234" s="245">
        <v>0</v>
      </c>
      <c r="F234" s="245">
        <v>0</v>
      </c>
      <c r="G234" s="324">
        <v>0</v>
      </c>
      <c r="H234" s="368">
        <f t="shared" si="3"/>
        <v>0</v>
      </c>
    </row>
    <row r="235" spans="1:8">
      <c r="A235" s="268" t="s">
        <v>249</v>
      </c>
      <c r="B235" s="245">
        <v>0</v>
      </c>
      <c r="C235" s="245">
        <v>0</v>
      </c>
      <c r="D235" s="396">
        <v>0</v>
      </c>
      <c r="E235" s="245">
        <v>0</v>
      </c>
      <c r="F235" s="245">
        <v>0</v>
      </c>
      <c r="G235" s="324">
        <v>0</v>
      </c>
      <c r="H235" s="368">
        <f t="shared" si="3"/>
        <v>0</v>
      </c>
    </row>
    <row r="236" spans="1:8" ht="17.45">
      <c r="A236" s="268" t="s">
        <v>158</v>
      </c>
      <c r="B236" s="245">
        <v>124707.78</v>
      </c>
      <c r="C236" s="245">
        <v>9650</v>
      </c>
      <c r="D236" s="396">
        <v>9650</v>
      </c>
      <c r="E236" s="245">
        <v>1603245.9100000001</v>
      </c>
      <c r="F236" s="245">
        <v>710332.2</v>
      </c>
      <c r="G236" s="325">
        <v>1066262.31</v>
      </c>
      <c r="H236" s="368">
        <f t="shared" si="3"/>
        <v>3514198.2</v>
      </c>
    </row>
    <row r="237" spans="1:8">
      <c r="A237" s="268" t="s">
        <v>251</v>
      </c>
      <c r="B237" s="245">
        <v>0</v>
      </c>
      <c r="C237" s="245">
        <v>0</v>
      </c>
      <c r="D237" s="396">
        <v>0</v>
      </c>
      <c r="E237" s="245">
        <v>0</v>
      </c>
      <c r="F237" s="245">
        <v>0</v>
      </c>
      <c r="G237" s="324">
        <v>0</v>
      </c>
      <c r="H237" s="368">
        <f t="shared" si="3"/>
        <v>0</v>
      </c>
    </row>
    <row r="238" spans="1:8" ht="18" thickBot="1">
      <c r="A238" s="274" t="s">
        <v>701</v>
      </c>
      <c r="B238" s="249">
        <v>25385139.470000003</v>
      </c>
      <c r="C238" s="249">
        <f>C236</f>
        <v>9650</v>
      </c>
      <c r="D238" s="401">
        <f>D237+D236+D235+D234+D233+D232+D231+D230</f>
        <v>9650</v>
      </c>
      <c r="E238" s="247">
        <v>1608812.06</v>
      </c>
      <c r="F238" s="249">
        <v>22390330.029999997</v>
      </c>
      <c r="G238" s="341">
        <v>17205102.539999999</v>
      </c>
      <c r="H238" s="369">
        <f t="shared" si="3"/>
        <v>66599034.100000001</v>
      </c>
    </row>
    <row r="239" spans="1:8">
      <c r="A239" s="292"/>
      <c r="B239" s="245">
        <v>0</v>
      </c>
      <c r="C239" s="245">
        <v>0</v>
      </c>
      <c r="D239" s="396">
        <v>0</v>
      </c>
      <c r="E239" s="245"/>
      <c r="F239" s="245">
        <v>0</v>
      </c>
      <c r="G239" s="324"/>
      <c r="H239" s="368">
        <f t="shared" si="3"/>
        <v>0</v>
      </c>
    </row>
    <row r="240" spans="1:8">
      <c r="A240" s="292" t="s">
        <v>702</v>
      </c>
      <c r="B240" s="245">
        <v>0</v>
      </c>
      <c r="C240" s="245">
        <v>1253092.17</v>
      </c>
      <c r="D240" s="396">
        <v>1253092.17</v>
      </c>
      <c r="E240" s="245"/>
      <c r="F240" s="245">
        <v>0</v>
      </c>
      <c r="G240" s="324"/>
      <c r="H240" s="368">
        <f t="shared" si="3"/>
        <v>1253092.17</v>
      </c>
    </row>
    <row r="241" spans="1:8" ht="17.45">
      <c r="A241" s="273" t="s">
        <v>703</v>
      </c>
      <c r="B241" s="245">
        <v>0</v>
      </c>
      <c r="C241" s="245">
        <v>0</v>
      </c>
      <c r="D241" s="396">
        <v>0</v>
      </c>
      <c r="E241" s="245"/>
      <c r="F241" s="245">
        <v>0</v>
      </c>
      <c r="G241" s="325">
        <v>0</v>
      </c>
      <c r="H241" s="368">
        <f t="shared" si="3"/>
        <v>0</v>
      </c>
    </row>
    <row r="242" spans="1:8">
      <c r="A242" s="273" t="s">
        <v>704</v>
      </c>
      <c r="B242" s="245">
        <v>0</v>
      </c>
      <c r="C242" s="245">
        <v>1262742.17</v>
      </c>
      <c r="D242" s="396">
        <v>1262742.17</v>
      </c>
      <c r="E242" s="245">
        <v>0</v>
      </c>
      <c r="F242" s="245">
        <v>0</v>
      </c>
      <c r="G242" s="324">
        <v>0</v>
      </c>
      <c r="H242" s="368">
        <f t="shared" si="3"/>
        <v>1262742.17</v>
      </c>
    </row>
    <row r="243" spans="1:8" ht="18" thickBot="1">
      <c r="A243" s="272" t="s">
        <v>705</v>
      </c>
      <c r="B243" s="249">
        <v>0</v>
      </c>
      <c r="C243" s="249">
        <f>C242+C241+C240</f>
        <v>2515834.34</v>
      </c>
      <c r="D243" s="401">
        <f>D242+D241+D240</f>
        <v>2515834.34</v>
      </c>
      <c r="E243" s="249">
        <v>0</v>
      </c>
      <c r="F243" s="249">
        <v>0</v>
      </c>
      <c r="G243" s="341">
        <v>0</v>
      </c>
      <c r="H243" s="368">
        <f t="shared" si="3"/>
        <v>2515834.34</v>
      </c>
    </row>
    <row r="244" spans="1:8">
      <c r="A244" s="268"/>
      <c r="B244" s="245">
        <v>0</v>
      </c>
      <c r="C244" s="245">
        <v>0</v>
      </c>
      <c r="D244" s="396"/>
      <c r="E244" s="245">
        <v>0</v>
      </c>
      <c r="F244" s="245">
        <v>0</v>
      </c>
      <c r="G244" s="324"/>
      <c r="H244" s="368">
        <f t="shared" si="3"/>
        <v>0</v>
      </c>
    </row>
    <row r="245" spans="1:8">
      <c r="A245" s="275" t="s">
        <v>253</v>
      </c>
      <c r="B245" s="245">
        <v>0</v>
      </c>
      <c r="C245" s="245">
        <v>0</v>
      </c>
      <c r="D245" s="396">
        <v>0</v>
      </c>
      <c r="E245" s="245">
        <v>0</v>
      </c>
      <c r="F245" s="245">
        <v>0</v>
      </c>
      <c r="G245" s="324"/>
      <c r="H245" s="368">
        <f t="shared" si="3"/>
        <v>0</v>
      </c>
    </row>
    <row r="246" spans="1:8">
      <c r="A246" s="268" t="s">
        <v>254</v>
      </c>
      <c r="B246" s="245">
        <v>0</v>
      </c>
      <c r="C246" s="245">
        <v>0</v>
      </c>
      <c r="D246" s="396">
        <v>0</v>
      </c>
      <c r="E246" s="245">
        <v>0</v>
      </c>
      <c r="F246" s="245">
        <v>0</v>
      </c>
      <c r="G246" s="324">
        <v>0</v>
      </c>
      <c r="H246" s="368">
        <f t="shared" si="3"/>
        <v>0</v>
      </c>
    </row>
    <row r="247" spans="1:8">
      <c r="A247" s="268" t="s">
        <v>255</v>
      </c>
      <c r="B247" s="245">
        <v>936250</v>
      </c>
      <c r="C247" s="245">
        <v>0</v>
      </c>
      <c r="D247" s="396">
        <v>0</v>
      </c>
      <c r="E247" s="245">
        <v>0</v>
      </c>
      <c r="F247" s="245">
        <v>0</v>
      </c>
      <c r="G247" s="324">
        <v>0</v>
      </c>
      <c r="H247" s="368">
        <f t="shared" si="3"/>
        <v>936250</v>
      </c>
    </row>
    <row r="248" spans="1:8" ht="17.45">
      <c r="A248" s="268" t="s">
        <v>256</v>
      </c>
      <c r="B248" s="245">
        <v>0</v>
      </c>
      <c r="C248" s="245">
        <v>0</v>
      </c>
      <c r="D248" s="396">
        <v>0</v>
      </c>
      <c r="E248" s="249">
        <v>0</v>
      </c>
      <c r="F248" s="245">
        <v>0</v>
      </c>
      <c r="G248" s="324">
        <v>0</v>
      </c>
      <c r="H248" s="368">
        <f t="shared" si="3"/>
        <v>0</v>
      </c>
    </row>
    <row r="249" spans="1:8" ht="17.45">
      <c r="A249" s="268" t="s">
        <v>257</v>
      </c>
      <c r="B249" s="245">
        <v>0</v>
      </c>
      <c r="C249" s="245">
        <v>0</v>
      </c>
      <c r="D249" s="396">
        <v>0</v>
      </c>
      <c r="E249" s="359"/>
      <c r="F249" s="245">
        <v>0</v>
      </c>
      <c r="G249" s="324">
        <v>0</v>
      </c>
      <c r="H249" s="368">
        <f t="shared" si="3"/>
        <v>0</v>
      </c>
    </row>
    <row r="250" spans="1:8" ht="17.45">
      <c r="A250" s="268" t="s">
        <v>258</v>
      </c>
      <c r="B250" s="245">
        <v>0</v>
      </c>
      <c r="C250" s="245">
        <v>0</v>
      </c>
      <c r="D250" s="396">
        <v>0</v>
      </c>
      <c r="E250" s="245">
        <v>0</v>
      </c>
      <c r="F250" s="245">
        <v>0</v>
      </c>
      <c r="G250" s="325">
        <v>0</v>
      </c>
      <c r="H250" s="368">
        <f t="shared" si="3"/>
        <v>0</v>
      </c>
    </row>
    <row r="251" spans="1:8">
      <c r="A251" s="268" t="s">
        <v>158</v>
      </c>
      <c r="B251" s="245">
        <v>0</v>
      </c>
      <c r="C251" s="245">
        <v>1014938.25</v>
      </c>
      <c r="D251" s="396">
        <v>1014938.25</v>
      </c>
      <c r="E251" s="245">
        <v>691000</v>
      </c>
      <c r="F251" s="245">
        <v>571136</v>
      </c>
      <c r="G251" s="324">
        <v>659250</v>
      </c>
      <c r="H251" s="368">
        <f t="shared" si="3"/>
        <v>2936324.25</v>
      </c>
    </row>
    <row r="252" spans="1:8" ht="18" thickBot="1">
      <c r="A252" s="272" t="s">
        <v>706</v>
      </c>
      <c r="B252" s="249">
        <v>936250</v>
      </c>
      <c r="C252" s="338">
        <v>1014938.25</v>
      </c>
      <c r="D252" s="407">
        <v>1014938.25</v>
      </c>
      <c r="E252" s="412">
        <v>691000</v>
      </c>
      <c r="F252" s="249">
        <v>571136</v>
      </c>
      <c r="G252" s="340">
        <v>659250</v>
      </c>
      <c r="H252" s="369">
        <f t="shared" si="3"/>
        <v>3872574.25</v>
      </c>
    </row>
    <row r="253" spans="1:8">
      <c r="A253" s="267"/>
      <c r="B253" s="245">
        <v>0</v>
      </c>
      <c r="C253" s="245">
        <v>0</v>
      </c>
      <c r="D253" s="396"/>
      <c r="E253" s="245">
        <v>0</v>
      </c>
      <c r="F253" s="245">
        <v>0</v>
      </c>
      <c r="G253" s="324"/>
      <c r="H253" s="368">
        <f t="shared" si="3"/>
        <v>0</v>
      </c>
    </row>
    <row r="254" spans="1:8">
      <c r="A254" s="275" t="s">
        <v>260</v>
      </c>
      <c r="B254" s="245">
        <v>0</v>
      </c>
      <c r="C254" s="245">
        <v>0</v>
      </c>
      <c r="D254" s="396"/>
      <c r="E254" s="245">
        <v>0</v>
      </c>
      <c r="F254" s="245">
        <v>0</v>
      </c>
      <c r="G254" s="324"/>
      <c r="H254" s="368">
        <f t="shared" si="3"/>
        <v>0</v>
      </c>
    </row>
    <row r="255" spans="1:8">
      <c r="A255" s="271" t="s">
        <v>261</v>
      </c>
      <c r="B255" s="245">
        <v>142906144.84</v>
      </c>
      <c r="C255" s="245">
        <v>68250038.140000001</v>
      </c>
      <c r="D255" s="396">
        <v>68250038.140000001</v>
      </c>
      <c r="E255" s="245">
        <v>0</v>
      </c>
      <c r="F255" s="245">
        <v>81377068.390000001</v>
      </c>
      <c r="G255" s="324">
        <v>137713079.95999998</v>
      </c>
      <c r="H255" s="368">
        <f t="shared" si="3"/>
        <v>430246331.32999998</v>
      </c>
    </row>
    <row r="256" spans="1:8">
      <c r="A256" s="271" t="s">
        <v>262</v>
      </c>
      <c r="B256" s="245">
        <v>0</v>
      </c>
      <c r="C256" s="245">
        <v>183424.6</v>
      </c>
      <c r="D256" s="396">
        <v>183424.59999999998</v>
      </c>
      <c r="E256" s="245">
        <v>211468.08000000002</v>
      </c>
      <c r="F256" s="245">
        <v>50099.34</v>
      </c>
      <c r="G256" s="324">
        <v>222808.22</v>
      </c>
      <c r="H256" s="368">
        <f t="shared" si="3"/>
        <v>667800.24</v>
      </c>
    </row>
    <row r="257" spans="1:8" ht="17.45">
      <c r="A257" s="271" t="s">
        <v>263</v>
      </c>
      <c r="B257" s="245">
        <v>0</v>
      </c>
      <c r="C257" s="245">
        <v>26235.22</v>
      </c>
      <c r="D257" s="401">
        <v>26235.22</v>
      </c>
      <c r="E257" s="245">
        <v>136007.18</v>
      </c>
      <c r="F257" s="245">
        <v>36088.51</v>
      </c>
      <c r="G257" s="324">
        <v>146523.29</v>
      </c>
      <c r="H257" s="368">
        <f t="shared" si="3"/>
        <v>344854.2</v>
      </c>
    </row>
    <row r="258" spans="1:8" ht="17.45">
      <c r="A258" s="271" t="s">
        <v>264</v>
      </c>
      <c r="B258" s="245">
        <v>0</v>
      </c>
      <c r="C258" s="245">
        <v>0</v>
      </c>
      <c r="D258" s="396">
        <v>0</v>
      </c>
      <c r="E258" s="249">
        <v>0</v>
      </c>
      <c r="F258" s="245">
        <v>0</v>
      </c>
      <c r="G258" s="324">
        <v>199706166.86000001</v>
      </c>
      <c r="H258" s="368">
        <f t="shared" si="3"/>
        <v>199706166.86000001</v>
      </c>
    </row>
    <row r="259" spans="1:8" ht="17.45">
      <c r="A259" s="271" t="s">
        <v>265</v>
      </c>
      <c r="B259" s="245">
        <v>148298299.49000001</v>
      </c>
      <c r="C259" s="245">
        <v>0</v>
      </c>
      <c r="D259" s="396">
        <v>0</v>
      </c>
      <c r="E259" s="245">
        <v>175893188.34999999</v>
      </c>
      <c r="F259" s="245">
        <v>0</v>
      </c>
      <c r="G259" s="325">
        <v>0</v>
      </c>
      <c r="H259" s="368">
        <f t="shared" si="3"/>
        <v>324191487.84000003</v>
      </c>
    </row>
    <row r="260" spans="1:8">
      <c r="A260" s="268" t="s">
        <v>158</v>
      </c>
      <c r="B260" s="245">
        <v>38280</v>
      </c>
      <c r="C260" s="245">
        <v>350</v>
      </c>
      <c r="D260" s="396">
        <v>350</v>
      </c>
      <c r="E260" s="245">
        <v>0</v>
      </c>
      <c r="F260" s="245">
        <v>0</v>
      </c>
      <c r="G260" s="324">
        <v>0</v>
      </c>
      <c r="H260" s="368">
        <f t="shared" si="3"/>
        <v>38630</v>
      </c>
    </row>
    <row r="261" spans="1:8" ht="18" thickBot="1">
      <c r="A261" s="272" t="s">
        <v>707</v>
      </c>
      <c r="B261" s="249">
        <v>291242724.33000004</v>
      </c>
      <c r="C261" s="249">
        <f>C260+C259+C258+C257+C256+C255</f>
        <v>68460047.959999993</v>
      </c>
      <c r="D261" s="396">
        <f>D260+D259+D258+D257+D256+D255</f>
        <v>68460047.959999993</v>
      </c>
      <c r="E261" s="360">
        <v>176240663.60999998</v>
      </c>
      <c r="F261" s="249">
        <v>81463256.24000001</v>
      </c>
      <c r="G261" s="342">
        <v>337788578.32999998</v>
      </c>
      <c r="H261" s="369">
        <f t="shared" si="3"/>
        <v>955195270.47000003</v>
      </c>
    </row>
    <row r="262" spans="1:8">
      <c r="A262" s="268"/>
      <c r="B262" s="245">
        <v>0</v>
      </c>
      <c r="C262" s="245">
        <v>0</v>
      </c>
      <c r="D262" s="396"/>
      <c r="E262" s="245">
        <v>0</v>
      </c>
      <c r="F262" s="245">
        <v>0</v>
      </c>
      <c r="G262" s="324"/>
      <c r="H262" s="368">
        <f t="shared" si="3"/>
        <v>0</v>
      </c>
    </row>
    <row r="263" spans="1:8" ht="17.45">
      <c r="A263" s="267" t="s">
        <v>708</v>
      </c>
      <c r="B263" s="245">
        <v>0</v>
      </c>
      <c r="C263" s="245">
        <v>0</v>
      </c>
      <c r="D263" s="396"/>
      <c r="E263" s="249">
        <v>0</v>
      </c>
      <c r="F263" s="245">
        <v>0</v>
      </c>
      <c r="G263" s="324"/>
      <c r="H263" s="368">
        <f t="shared" si="3"/>
        <v>0</v>
      </c>
    </row>
    <row r="264" spans="1:8">
      <c r="A264" s="277" t="s">
        <v>268</v>
      </c>
      <c r="B264" s="245">
        <v>0</v>
      </c>
      <c r="C264" s="245">
        <v>0</v>
      </c>
      <c r="D264" s="396">
        <v>0</v>
      </c>
      <c r="E264" s="245">
        <v>0</v>
      </c>
      <c r="F264" s="245">
        <v>0</v>
      </c>
      <c r="G264" s="324">
        <v>0</v>
      </c>
      <c r="H264" s="368">
        <f t="shared" si="3"/>
        <v>0</v>
      </c>
    </row>
    <row r="265" spans="1:8">
      <c r="A265" s="271" t="s">
        <v>269</v>
      </c>
      <c r="B265" s="245">
        <v>0</v>
      </c>
      <c r="C265" s="245">
        <v>151007.89000000001</v>
      </c>
      <c r="D265" s="396">
        <v>151007.89000000001</v>
      </c>
      <c r="E265" s="245">
        <v>0</v>
      </c>
      <c r="F265" s="245">
        <v>0</v>
      </c>
      <c r="G265" s="324">
        <v>0</v>
      </c>
      <c r="H265" s="368">
        <f t="shared" ref="H265:H328" si="4">B265+C265+E265+F265+G265</f>
        <v>151007.89000000001</v>
      </c>
    </row>
    <row r="266" spans="1:8" ht="17.45">
      <c r="A266" s="271" t="s">
        <v>270</v>
      </c>
      <c r="B266" s="245">
        <v>0</v>
      </c>
      <c r="C266" s="245">
        <v>15000</v>
      </c>
      <c r="D266" s="401">
        <v>15000</v>
      </c>
      <c r="E266" s="245"/>
      <c r="F266" s="245">
        <v>0</v>
      </c>
      <c r="G266" s="324">
        <v>0</v>
      </c>
      <c r="H266" s="368">
        <f t="shared" si="4"/>
        <v>15000</v>
      </c>
    </row>
    <row r="267" spans="1:8">
      <c r="A267" s="271" t="s">
        <v>271</v>
      </c>
      <c r="B267" s="245">
        <v>0</v>
      </c>
      <c r="C267" s="245">
        <v>400</v>
      </c>
      <c r="D267" s="396">
        <v>400</v>
      </c>
      <c r="E267" s="245"/>
      <c r="F267" s="245">
        <v>0</v>
      </c>
      <c r="G267" s="324">
        <v>0</v>
      </c>
      <c r="H267" s="368">
        <f t="shared" si="4"/>
        <v>400</v>
      </c>
    </row>
    <row r="268" spans="1:8" ht="17.45">
      <c r="A268" s="271" t="s">
        <v>272</v>
      </c>
      <c r="B268" s="245">
        <v>0</v>
      </c>
      <c r="C268" s="245">
        <v>825745.79</v>
      </c>
      <c r="D268" s="396">
        <v>825745.79</v>
      </c>
      <c r="E268" s="245">
        <v>0</v>
      </c>
      <c r="F268" s="245">
        <v>0</v>
      </c>
      <c r="G268" s="325">
        <v>0</v>
      </c>
      <c r="H268" s="368">
        <f t="shared" si="4"/>
        <v>825745.79</v>
      </c>
    </row>
    <row r="269" spans="1:8">
      <c r="A269" s="271" t="s">
        <v>158</v>
      </c>
      <c r="B269" s="245">
        <v>1548571.87</v>
      </c>
      <c r="C269" s="245">
        <v>109350</v>
      </c>
      <c r="D269" s="396">
        <v>109350</v>
      </c>
      <c r="E269" s="245">
        <v>0</v>
      </c>
      <c r="F269" s="245">
        <v>12268686.780000001</v>
      </c>
      <c r="G269" s="324">
        <v>12968164.050000001</v>
      </c>
      <c r="H269" s="368">
        <f t="shared" si="4"/>
        <v>26894772.700000003</v>
      </c>
    </row>
    <row r="270" spans="1:8" ht="18" thickBot="1">
      <c r="A270" s="276" t="s">
        <v>709</v>
      </c>
      <c r="B270" s="249">
        <v>1548571.87</v>
      </c>
      <c r="C270" s="249">
        <v>1101503.6800000002</v>
      </c>
      <c r="D270" s="407">
        <v>1101503.6800000002</v>
      </c>
      <c r="E270" s="249">
        <v>0</v>
      </c>
      <c r="F270" s="249">
        <v>12268686.780000001</v>
      </c>
      <c r="G270" s="341">
        <v>12968164.050000001</v>
      </c>
      <c r="H270" s="368">
        <f t="shared" si="4"/>
        <v>27886926.380000003</v>
      </c>
    </row>
    <row r="271" spans="1:8">
      <c r="A271" s="293"/>
      <c r="B271" s="245">
        <v>0</v>
      </c>
      <c r="C271" s="245">
        <v>0</v>
      </c>
      <c r="D271" s="396"/>
      <c r="E271" s="245">
        <v>0</v>
      </c>
      <c r="F271" s="245">
        <v>0</v>
      </c>
      <c r="G271" s="324"/>
      <c r="H271" s="368">
        <f t="shared" si="4"/>
        <v>0</v>
      </c>
    </row>
    <row r="272" spans="1:8">
      <c r="A272" s="294" t="s">
        <v>275</v>
      </c>
      <c r="B272" s="245">
        <v>0</v>
      </c>
      <c r="C272" s="245">
        <v>0</v>
      </c>
      <c r="D272" s="396"/>
      <c r="E272" s="245"/>
      <c r="F272" s="245">
        <v>0</v>
      </c>
      <c r="G272" s="324"/>
      <c r="H272" s="368">
        <f t="shared" si="4"/>
        <v>0</v>
      </c>
    </row>
    <row r="273" spans="1:8">
      <c r="A273" s="271" t="s">
        <v>276</v>
      </c>
      <c r="B273" s="245">
        <v>0</v>
      </c>
      <c r="C273" s="245">
        <v>0</v>
      </c>
      <c r="D273" s="396">
        <v>0</v>
      </c>
      <c r="E273" s="245">
        <v>0</v>
      </c>
      <c r="F273" s="245">
        <v>0</v>
      </c>
      <c r="G273" s="324">
        <v>0</v>
      </c>
      <c r="H273" s="368">
        <f t="shared" si="4"/>
        <v>0</v>
      </c>
    </row>
    <row r="274" spans="1:8">
      <c r="A274" s="271" t="s">
        <v>277</v>
      </c>
      <c r="B274" s="245">
        <v>0</v>
      </c>
      <c r="C274" s="245">
        <v>0</v>
      </c>
      <c r="D274" s="396">
        <v>0</v>
      </c>
      <c r="E274" s="245">
        <v>0</v>
      </c>
      <c r="F274" s="245">
        <v>0</v>
      </c>
      <c r="G274" s="324">
        <v>0</v>
      </c>
      <c r="H274" s="368">
        <f t="shared" si="4"/>
        <v>0</v>
      </c>
    </row>
    <row r="275" spans="1:8" ht="17.45">
      <c r="A275" s="277" t="s">
        <v>278</v>
      </c>
      <c r="B275" s="245">
        <v>0</v>
      </c>
      <c r="C275" s="245">
        <v>0</v>
      </c>
      <c r="D275" s="401">
        <v>0</v>
      </c>
      <c r="E275" s="249">
        <v>0</v>
      </c>
      <c r="F275" s="245">
        <v>0</v>
      </c>
      <c r="G275" s="324">
        <v>0</v>
      </c>
      <c r="H275" s="368">
        <f t="shared" si="4"/>
        <v>0</v>
      </c>
    </row>
    <row r="276" spans="1:8">
      <c r="A276" s="268" t="s">
        <v>279</v>
      </c>
      <c r="B276" s="245">
        <v>1119430</v>
      </c>
      <c r="C276" s="245">
        <v>860650.79</v>
      </c>
      <c r="D276" s="396">
        <v>860650.79</v>
      </c>
      <c r="E276" s="245">
        <v>1208221.1400000001</v>
      </c>
      <c r="F276" s="245">
        <v>2923895.58</v>
      </c>
      <c r="G276" s="324">
        <v>0</v>
      </c>
      <c r="H276" s="368">
        <f t="shared" si="4"/>
        <v>6112197.5099999998</v>
      </c>
    </row>
    <row r="277" spans="1:8" ht="17.45">
      <c r="A277" s="268" t="s">
        <v>158</v>
      </c>
      <c r="B277" s="245">
        <v>0</v>
      </c>
      <c r="C277" s="245">
        <v>0</v>
      </c>
      <c r="D277" s="396">
        <v>0</v>
      </c>
      <c r="E277" s="245">
        <v>34946.6</v>
      </c>
      <c r="F277" s="245">
        <v>0</v>
      </c>
      <c r="G277" s="325">
        <v>6500</v>
      </c>
      <c r="H277" s="368">
        <f t="shared" si="4"/>
        <v>41446.6</v>
      </c>
    </row>
    <row r="278" spans="1:8">
      <c r="A278" s="268" t="s">
        <v>710</v>
      </c>
      <c r="B278" s="245">
        <v>203714.83</v>
      </c>
      <c r="C278" s="245">
        <v>0</v>
      </c>
      <c r="D278" s="396">
        <v>0</v>
      </c>
      <c r="E278" s="245">
        <v>0</v>
      </c>
      <c r="F278" s="245">
        <v>0</v>
      </c>
      <c r="G278" s="324">
        <v>0</v>
      </c>
      <c r="H278" s="368">
        <f t="shared" si="4"/>
        <v>203714.83</v>
      </c>
    </row>
    <row r="279" spans="1:8" ht="18" thickBot="1">
      <c r="A279" s="280" t="s">
        <v>711</v>
      </c>
      <c r="B279" s="249">
        <v>1323144.83</v>
      </c>
      <c r="C279" s="249">
        <v>860650.79</v>
      </c>
      <c r="D279" s="407">
        <v>860650.79</v>
      </c>
      <c r="E279" s="249">
        <v>1243167.7400000002</v>
      </c>
      <c r="F279" s="249">
        <v>2923895.58</v>
      </c>
      <c r="G279" s="341">
        <v>6500</v>
      </c>
      <c r="H279" s="369">
        <f t="shared" si="4"/>
        <v>6357358.9400000004</v>
      </c>
    </row>
    <row r="280" spans="1:8">
      <c r="A280" s="293"/>
      <c r="B280" s="245">
        <v>0</v>
      </c>
      <c r="C280" s="245">
        <v>0</v>
      </c>
      <c r="D280" s="396"/>
      <c r="E280" s="245">
        <v>0</v>
      </c>
      <c r="F280" s="245">
        <v>0</v>
      </c>
      <c r="G280" s="324"/>
      <c r="H280" s="368">
        <f t="shared" si="4"/>
        <v>0</v>
      </c>
    </row>
    <row r="281" spans="1:8">
      <c r="A281" s="293"/>
      <c r="B281" s="245">
        <v>0</v>
      </c>
      <c r="C281" s="245">
        <v>0</v>
      </c>
      <c r="D281" s="396"/>
      <c r="E281" s="245">
        <v>0</v>
      </c>
      <c r="F281" s="245">
        <v>0</v>
      </c>
      <c r="G281" s="324"/>
      <c r="H281" s="368">
        <f t="shared" si="4"/>
        <v>0</v>
      </c>
    </row>
    <row r="282" spans="1:8">
      <c r="A282" s="293" t="s">
        <v>712</v>
      </c>
      <c r="B282" s="245">
        <v>0</v>
      </c>
      <c r="C282" s="245">
        <v>0</v>
      </c>
      <c r="D282" s="396"/>
      <c r="E282" s="245">
        <v>0</v>
      </c>
      <c r="F282" s="245"/>
      <c r="G282" s="324"/>
      <c r="H282" s="368">
        <f t="shared" si="4"/>
        <v>0</v>
      </c>
    </row>
    <row r="283" spans="1:8">
      <c r="A283" s="286" t="s">
        <v>713</v>
      </c>
      <c r="B283" s="245">
        <v>0</v>
      </c>
      <c r="C283" s="245">
        <v>0</v>
      </c>
      <c r="D283" s="396">
        <v>0</v>
      </c>
      <c r="E283" s="245">
        <v>0</v>
      </c>
      <c r="F283" s="245">
        <v>0</v>
      </c>
      <c r="G283" s="324">
        <v>0</v>
      </c>
      <c r="H283" s="368">
        <f t="shared" si="4"/>
        <v>0</v>
      </c>
    </row>
    <row r="284" spans="1:8" ht="17.45">
      <c r="A284" s="286" t="s">
        <v>714</v>
      </c>
      <c r="B284" s="245">
        <v>0</v>
      </c>
      <c r="C284" s="245">
        <v>0</v>
      </c>
      <c r="D284" s="401">
        <v>0</v>
      </c>
      <c r="E284" s="249">
        <v>0</v>
      </c>
      <c r="F284" s="245">
        <v>0</v>
      </c>
      <c r="G284" s="324">
        <v>0</v>
      </c>
      <c r="H284" s="368">
        <f t="shared" si="4"/>
        <v>0</v>
      </c>
    </row>
    <row r="285" spans="1:8">
      <c r="A285" s="286" t="s">
        <v>715</v>
      </c>
      <c r="B285" s="245">
        <v>0</v>
      </c>
      <c r="C285" s="245">
        <v>0</v>
      </c>
      <c r="D285" s="396">
        <v>0</v>
      </c>
      <c r="E285" s="245">
        <v>0</v>
      </c>
      <c r="F285" s="245">
        <v>0</v>
      </c>
      <c r="G285" s="324">
        <v>0</v>
      </c>
      <c r="H285" s="368">
        <f t="shared" si="4"/>
        <v>0</v>
      </c>
    </row>
    <row r="286" spans="1:8" ht="17.45">
      <c r="A286" s="286" t="s">
        <v>158</v>
      </c>
      <c r="B286" s="245">
        <v>0</v>
      </c>
      <c r="C286" s="245"/>
      <c r="D286" s="396"/>
      <c r="E286" s="245">
        <v>0</v>
      </c>
      <c r="F286" s="245">
        <v>0</v>
      </c>
      <c r="G286" s="325"/>
      <c r="H286" s="368">
        <f t="shared" si="4"/>
        <v>0</v>
      </c>
    </row>
    <row r="287" spans="1:8">
      <c r="A287" s="286" t="s">
        <v>716</v>
      </c>
      <c r="B287" s="245"/>
      <c r="C287" s="245">
        <v>0</v>
      </c>
      <c r="D287" s="396">
        <v>0</v>
      </c>
      <c r="E287" s="245">
        <v>8500</v>
      </c>
      <c r="F287" s="245">
        <v>0</v>
      </c>
      <c r="G287" s="324">
        <v>0</v>
      </c>
      <c r="H287" s="368">
        <f t="shared" si="4"/>
        <v>8500</v>
      </c>
    </row>
    <row r="288" spans="1:8" ht="17.45">
      <c r="A288" s="295" t="s">
        <v>717</v>
      </c>
      <c r="B288" s="249">
        <v>0</v>
      </c>
      <c r="C288" s="249">
        <v>0</v>
      </c>
      <c r="D288" s="396"/>
      <c r="E288" s="247">
        <v>8500</v>
      </c>
      <c r="F288" s="249">
        <v>0</v>
      </c>
      <c r="G288" s="324"/>
      <c r="H288" s="369">
        <f t="shared" si="4"/>
        <v>8500</v>
      </c>
    </row>
    <row r="289" spans="1:8" ht="17.45">
      <c r="A289" s="293"/>
      <c r="B289" s="245">
        <v>0</v>
      </c>
      <c r="C289" s="245">
        <v>0</v>
      </c>
      <c r="D289" s="401"/>
      <c r="E289" s="245">
        <v>0</v>
      </c>
      <c r="F289" s="245">
        <v>0</v>
      </c>
      <c r="G289" s="324"/>
      <c r="H289" s="368">
        <f t="shared" si="4"/>
        <v>0</v>
      </c>
    </row>
    <row r="290" spans="1:8">
      <c r="A290" s="293"/>
      <c r="B290" s="245">
        <v>0</v>
      </c>
      <c r="C290" s="245">
        <v>0</v>
      </c>
      <c r="D290" s="396"/>
      <c r="E290" s="245"/>
      <c r="F290" s="245">
        <v>0</v>
      </c>
      <c r="G290" s="324"/>
      <c r="H290" s="368">
        <f t="shared" si="4"/>
        <v>0</v>
      </c>
    </row>
    <row r="291" spans="1:8" ht="17.45">
      <c r="A291" s="293" t="s">
        <v>282</v>
      </c>
      <c r="B291" s="245">
        <v>0</v>
      </c>
      <c r="C291" s="245">
        <v>0</v>
      </c>
      <c r="D291" s="396"/>
      <c r="E291" s="245">
        <v>0</v>
      </c>
      <c r="F291" s="245">
        <v>0</v>
      </c>
      <c r="G291" s="325"/>
      <c r="H291" s="368">
        <f t="shared" si="4"/>
        <v>0</v>
      </c>
    </row>
    <row r="292" spans="1:8">
      <c r="A292" s="271" t="s">
        <v>283</v>
      </c>
      <c r="B292" s="245">
        <v>0</v>
      </c>
      <c r="C292" s="245">
        <v>339725</v>
      </c>
      <c r="D292" s="396">
        <v>339725</v>
      </c>
      <c r="E292" s="245">
        <v>89500</v>
      </c>
      <c r="F292" s="245">
        <v>0</v>
      </c>
      <c r="G292" s="324">
        <v>113500</v>
      </c>
      <c r="H292" s="368">
        <f t="shared" si="4"/>
        <v>542725</v>
      </c>
    </row>
    <row r="293" spans="1:8" ht="18" thickBot="1">
      <c r="A293" s="280" t="s">
        <v>718</v>
      </c>
      <c r="B293" s="249">
        <v>0</v>
      </c>
      <c r="C293" s="249">
        <v>339725</v>
      </c>
      <c r="D293" s="407">
        <v>339725</v>
      </c>
      <c r="E293" s="249">
        <v>89500</v>
      </c>
      <c r="F293" s="249">
        <v>0</v>
      </c>
      <c r="G293" s="341">
        <v>113500</v>
      </c>
      <c r="H293" s="369">
        <f t="shared" si="4"/>
        <v>542725</v>
      </c>
    </row>
    <row r="294" spans="1:8" ht="17.45">
      <c r="A294" s="293"/>
      <c r="B294" s="245">
        <v>0</v>
      </c>
      <c r="C294" s="245">
        <v>0</v>
      </c>
      <c r="D294" s="402"/>
      <c r="E294" s="245"/>
      <c r="F294" s="245">
        <v>0</v>
      </c>
      <c r="G294" s="324"/>
      <c r="H294" s="368">
        <f t="shared" si="4"/>
        <v>0</v>
      </c>
    </row>
    <row r="295" spans="1:8">
      <c r="A295" s="293" t="s">
        <v>719</v>
      </c>
      <c r="B295" s="245">
        <v>0</v>
      </c>
      <c r="C295" s="245">
        <v>0</v>
      </c>
      <c r="D295" s="396"/>
      <c r="E295" s="245">
        <v>0</v>
      </c>
      <c r="F295" s="245">
        <v>0</v>
      </c>
      <c r="G295" s="324"/>
      <c r="H295" s="368">
        <f t="shared" si="4"/>
        <v>0</v>
      </c>
    </row>
    <row r="296" spans="1:8" ht="17.45">
      <c r="A296" s="286" t="s">
        <v>137</v>
      </c>
      <c r="B296" s="245">
        <v>0</v>
      </c>
      <c r="C296" s="245">
        <v>0</v>
      </c>
      <c r="D296" s="396">
        <v>0</v>
      </c>
      <c r="E296" s="245">
        <v>0</v>
      </c>
      <c r="F296" s="245">
        <v>0</v>
      </c>
      <c r="G296" s="325">
        <v>0</v>
      </c>
      <c r="H296" s="368">
        <f t="shared" si="4"/>
        <v>0</v>
      </c>
    </row>
    <row r="297" spans="1:8">
      <c r="A297" s="296" t="s">
        <v>158</v>
      </c>
      <c r="B297" s="245">
        <v>21986.06</v>
      </c>
      <c r="C297" s="245">
        <v>0</v>
      </c>
      <c r="D297" s="396">
        <v>0</v>
      </c>
      <c r="E297" s="245">
        <v>0</v>
      </c>
      <c r="F297" s="245">
        <v>0</v>
      </c>
      <c r="G297" s="324">
        <v>0</v>
      </c>
      <c r="H297" s="368">
        <f t="shared" si="4"/>
        <v>21986.06</v>
      </c>
    </row>
    <row r="298" spans="1:8" ht="18" thickBot="1">
      <c r="A298" s="297" t="s">
        <v>720</v>
      </c>
      <c r="B298" s="249">
        <v>21986.06</v>
      </c>
      <c r="C298" s="249">
        <v>0</v>
      </c>
      <c r="D298" s="407">
        <v>0</v>
      </c>
      <c r="E298" s="245">
        <v>0</v>
      </c>
      <c r="F298" s="249">
        <v>0</v>
      </c>
      <c r="G298" s="341">
        <v>0</v>
      </c>
      <c r="H298" s="368">
        <f t="shared" si="4"/>
        <v>21986.06</v>
      </c>
    </row>
    <row r="299" spans="1:8">
      <c r="A299" s="286"/>
      <c r="B299" s="245">
        <v>0</v>
      </c>
      <c r="C299" s="245">
        <v>0</v>
      </c>
      <c r="D299" s="396"/>
      <c r="E299" s="245"/>
      <c r="F299" s="245">
        <v>0</v>
      </c>
      <c r="G299" s="324"/>
      <c r="H299" s="368">
        <f t="shared" si="4"/>
        <v>0</v>
      </c>
    </row>
    <row r="300" spans="1:8">
      <c r="A300" s="298" t="s">
        <v>721</v>
      </c>
      <c r="B300" s="245">
        <v>0</v>
      </c>
      <c r="C300" s="245">
        <v>0</v>
      </c>
      <c r="D300" s="396"/>
      <c r="E300" s="245">
        <v>0</v>
      </c>
      <c r="F300" s="245">
        <v>0</v>
      </c>
      <c r="G300" s="324"/>
      <c r="H300" s="368">
        <f t="shared" si="4"/>
        <v>0</v>
      </c>
    </row>
    <row r="301" spans="1:8" ht="17.45">
      <c r="A301" s="286" t="s">
        <v>289</v>
      </c>
      <c r="B301" s="245">
        <v>0</v>
      </c>
      <c r="C301" s="245">
        <v>0</v>
      </c>
      <c r="D301" s="402">
        <v>0</v>
      </c>
      <c r="E301" s="245">
        <v>0</v>
      </c>
      <c r="F301" s="245">
        <v>0</v>
      </c>
      <c r="G301" s="324">
        <v>0</v>
      </c>
      <c r="H301" s="368">
        <f t="shared" si="4"/>
        <v>0</v>
      </c>
    </row>
    <row r="302" spans="1:8">
      <c r="A302" s="296" t="s">
        <v>158</v>
      </c>
      <c r="B302" s="245">
        <v>0</v>
      </c>
      <c r="C302" s="245">
        <v>0</v>
      </c>
      <c r="D302" s="396">
        <v>0</v>
      </c>
      <c r="E302" s="245">
        <v>0</v>
      </c>
      <c r="F302" s="245">
        <v>0</v>
      </c>
      <c r="G302" s="324">
        <v>0</v>
      </c>
      <c r="H302" s="368">
        <f t="shared" si="4"/>
        <v>0</v>
      </c>
    </row>
    <row r="303" spans="1:8" ht="17.45">
      <c r="A303" s="286" t="s">
        <v>722</v>
      </c>
      <c r="B303" s="245">
        <v>0</v>
      </c>
      <c r="C303" s="245">
        <v>0</v>
      </c>
      <c r="D303" s="396">
        <v>0</v>
      </c>
      <c r="E303" s="249">
        <v>0</v>
      </c>
      <c r="F303" s="245">
        <v>0</v>
      </c>
      <c r="G303" s="325">
        <v>0</v>
      </c>
      <c r="H303" s="368">
        <f t="shared" si="4"/>
        <v>0</v>
      </c>
    </row>
    <row r="304" spans="1:8">
      <c r="A304" s="286" t="s">
        <v>723</v>
      </c>
      <c r="B304" s="245">
        <v>0</v>
      </c>
      <c r="C304" s="245">
        <v>0</v>
      </c>
      <c r="D304" s="396">
        <v>0</v>
      </c>
      <c r="E304" s="245">
        <v>0</v>
      </c>
      <c r="F304" s="245">
        <v>0</v>
      </c>
      <c r="G304" s="324">
        <v>0</v>
      </c>
      <c r="H304" s="368">
        <f t="shared" si="4"/>
        <v>0</v>
      </c>
    </row>
    <row r="305" spans="1:8" ht="18" thickBot="1">
      <c r="A305" s="272" t="s">
        <v>724</v>
      </c>
      <c r="B305" s="249">
        <v>0</v>
      </c>
      <c r="C305" s="249">
        <v>0</v>
      </c>
      <c r="D305" s="402">
        <v>0</v>
      </c>
      <c r="E305" s="245">
        <v>0</v>
      </c>
      <c r="F305" s="249">
        <v>0</v>
      </c>
      <c r="G305" s="341">
        <v>0</v>
      </c>
      <c r="H305" s="368">
        <f t="shared" si="4"/>
        <v>0</v>
      </c>
    </row>
    <row r="306" spans="1:8">
      <c r="A306" s="268"/>
      <c r="B306" s="245">
        <v>0</v>
      </c>
      <c r="C306" s="245">
        <v>0</v>
      </c>
      <c r="D306" s="396"/>
      <c r="E306" s="245"/>
      <c r="F306" s="245">
        <v>0</v>
      </c>
      <c r="G306" s="324"/>
      <c r="H306" s="368">
        <f t="shared" si="4"/>
        <v>0</v>
      </c>
    </row>
    <row r="307" spans="1:8" ht="17.45">
      <c r="A307" s="298" t="s">
        <v>725</v>
      </c>
      <c r="B307" s="245">
        <v>0</v>
      </c>
      <c r="C307" s="245">
        <v>0</v>
      </c>
      <c r="D307" s="396"/>
      <c r="E307" s="245">
        <v>0</v>
      </c>
      <c r="F307" s="245">
        <v>0</v>
      </c>
      <c r="G307" s="325"/>
      <c r="H307" s="368">
        <f t="shared" si="4"/>
        <v>0</v>
      </c>
    </row>
    <row r="308" spans="1:8">
      <c r="A308" s="273" t="s">
        <v>726</v>
      </c>
      <c r="B308" s="245">
        <v>0</v>
      </c>
      <c r="C308" s="245">
        <v>0</v>
      </c>
      <c r="D308" s="396">
        <v>0</v>
      </c>
      <c r="E308" s="245">
        <v>0</v>
      </c>
      <c r="F308" s="245">
        <v>0</v>
      </c>
      <c r="G308" s="324">
        <v>0</v>
      </c>
      <c r="H308" s="368">
        <f t="shared" si="4"/>
        <v>0</v>
      </c>
    </row>
    <row r="309" spans="1:8" ht="17.45">
      <c r="A309" s="280" t="s">
        <v>727</v>
      </c>
      <c r="B309" s="249">
        <v>0</v>
      </c>
      <c r="C309" s="249">
        <v>0</v>
      </c>
      <c r="D309" s="407">
        <v>0</v>
      </c>
      <c r="E309" s="245">
        <v>0</v>
      </c>
      <c r="F309" s="249">
        <v>0</v>
      </c>
      <c r="G309" s="324">
        <v>0</v>
      </c>
      <c r="H309" s="368">
        <f t="shared" si="4"/>
        <v>0</v>
      </c>
    </row>
    <row r="310" spans="1:8" ht="17.45">
      <c r="A310" s="286"/>
      <c r="B310" s="245">
        <v>0</v>
      </c>
      <c r="C310" s="245">
        <v>0</v>
      </c>
      <c r="D310" s="401"/>
      <c r="E310" s="245"/>
      <c r="F310" s="245">
        <v>0</v>
      </c>
      <c r="G310" s="324"/>
      <c r="H310" s="368">
        <f t="shared" si="4"/>
        <v>0</v>
      </c>
    </row>
    <row r="311" spans="1:8">
      <c r="A311" s="298" t="s">
        <v>728</v>
      </c>
      <c r="B311" s="245">
        <v>0</v>
      </c>
      <c r="C311" s="245">
        <v>0</v>
      </c>
      <c r="D311" s="396"/>
      <c r="E311" s="245">
        <v>0</v>
      </c>
      <c r="F311" s="245">
        <v>0</v>
      </c>
      <c r="G311" s="324"/>
      <c r="H311" s="368">
        <f t="shared" si="4"/>
        <v>0</v>
      </c>
    </row>
    <row r="312" spans="1:8" ht="17.45">
      <c r="A312" s="277" t="s">
        <v>729</v>
      </c>
      <c r="B312" s="245">
        <v>0</v>
      </c>
      <c r="C312" s="245">
        <v>0</v>
      </c>
      <c r="D312" s="396">
        <v>0</v>
      </c>
      <c r="E312" s="245">
        <v>0</v>
      </c>
      <c r="F312" s="245">
        <v>215423.55</v>
      </c>
      <c r="G312" s="325">
        <v>55221.8</v>
      </c>
      <c r="H312" s="368">
        <f t="shared" si="4"/>
        <v>270645.34999999998</v>
      </c>
    </row>
    <row r="313" spans="1:8">
      <c r="A313" s="277" t="s">
        <v>730</v>
      </c>
      <c r="B313" s="245">
        <v>0</v>
      </c>
      <c r="C313" s="245">
        <v>0</v>
      </c>
      <c r="D313" s="396">
        <v>0</v>
      </c>
      <c r="E313" s="245">
        <v>0</v>
      </c>
      <c r="F313" s="245">
        <v>0</v>
      </c>
      <c r="G313" s="324">
        <v>0</v>
      </c>
      <c r="H313" s="368">
        <f t="shared" si="4"/>
        <v>0</v>
      </c>
    </row>
    <row r="314" spans="1:8" ht="18" thickBot="1">
      <c r="A314" s="299" t="s">
        <v>731</v>
      </c>
      <c r="B314" s="249">
        <v>0</v>
      </c>
      <c r="C314" s="249">
        <v>0</v>
      </c>
      <c r="D314" s="407">
        <v>0</v>
      </c>
      <c r="E314" s="249">
        <v>0</v>
      </c>
      <c r="F314" s="249">
        <v>215423.55</v>
      </c>
      <c r="G314" s="341">
        <v>55221.8</v>
      </c>
      <c r="H314" s="368">
        <f t="shared" si="4"/>
        <v>270645.34999999998</v>
      </c>
    </row>
    <row r="315" spans="1:8">
      <c r="A315" s="298"/>
      <c r="B315" s="245">
        <v>0</v>
      </c>
      <c r="C315" s="245">
        <v>0</v>
      </c>
      <c r="D315" s="396"/>
      <c r="E315" s="245"/>
      <c r="F315" s="245">
        <v>0</v>
      </c>
      <c r="G315" s="324"/>
      <c r="H315" s="368">
        <f t="shared" si="4"/>
        <v>0</v>
      </c>
    </row>
    <row r="316" spans="1:8">
      <c r="A316" s="298" t="s">
        <v>732</v>
      </c>
      <c r="B316" s="245">
        <v>0</v>
      </c>
      <c r="C316" s="245">
        <v>0</v>
      </c>
      <c r="D316" s="396"/>
      <c r="E316" s="245">
        <v>0</v>
      </c>
      <c r="F316" s="245">
        <v>0</v>
      </c>
      <c r="G316" s="324"/>
      <c r="H316" s="368">
        <f t="shared" si="4"/>
        <v>0</v>
      </c>
    </row>
    <row r="317" spans="1:8">
      <c r="A317" s="296" t="s">
        <v>733</v>
      </c>
      <c r="B317" s="245">
        <v>0</v>
      </c>
      <c r="C317" s="245">
        <v>0</v>
      </c>
      <c r="D317" s="396">
        <v>0</v>
      </c>
      <c r="E317" s="245">
        <v>324000</v>
      </c>
      <c r="F317" s="245">
        <v>495000</v>
      </c>
      <c r="G317" s="324">
        <v>426000</v>
      </c>
      <c r="H317" s="368">
        <f t="shared" si="4"/>
        <v>1245000</v>
      </c>
    </row>
    <row r="318" spans="1:8" ht="17.45">
      <c r="A318" s="296" t="s">
        <v>734</v>
      </c>
      <c r="B318" s="245">
        <v>0</v>
      </c>
      <c r="C318" s="245">
        <v>0</v>
      </c>
      <c r="D318" s="401">
        <v>0</v>
      </c>
      <c r="E318" s="245">
        <v>0</v>
      </c>
      <c r="F318" s="245">
        <v>0</v>
      </c>
      <c r="G318" s="324">
        <v>0</v>
      </c>
      <c r="H318" s="368">
        <f t="shared" si="4"/>
        <v>0</v>
      </c>
    </row>
    <row r="319" spans="1:8" ht="17.45">
      <c r="A319" s="296" t="s">
        <v>301</v>
      </c>
      <c r="B319" s="245">
        <v>0</v>
      </c>
      <c r="C319" s="245">
        <v>0</v>
      </c>
      <c r="D319" s="396">
        <v>0</v>
      </c>
      <c r="E319" s="249">
        <v>0</v>
      </c>
      <c r="F319" s="245">
        <v>0</v>
      </c>
      <c r="G319" s="324">
        <v>0</v>
      </c>
      <c r="H319" s="368">
        <f t="shared" si="4"/>
        <v>0</v>
      </c>
    </row>
    <row r="320" spans="1:8" ht="17.45">
      <c r="A320" s="296" t="s">
        <v>302</v>
      </c>
      <c r="B320" s="245">
        <v>0</v>
      </c>
      <c r="C320" s="245">
        <v>0</v>
      </c>
      <c r="D320" s="396">
        <v>0</v>
      </c>
      <c r="E320" s="245">
        <v>0</v>
      </c>
      <c r="F320" s="245">
        <v>0</v>
      </c>
      <c r="G320" s="325">
        <v>5000</v>
      </c>
      <c r="H320" s="368">
        <f t="shared" si="4"/>
        <v>5000</v>
      </c>
    </row>
    <row r="321" spans="1:8">
      <c r="A321" s="296" t="s">
        <v>158</v>
      </c>
      <c r="B321" s="245">
        <v>0</v>
      </c>
      <c r="C321" s="245">
        <v>0</v>
      </c>
      <c r="D321" s="396">
        <v>0</v>
      </c>
      <c r="E321" s="245">
        <v>0</v>
      </c>
      <c r="F321" s="245">
        <v>300</v>
      </c>
      <c r="G321" s="324">
        <v>150</v>
      </c>
      <c r="H321" s="368">
        <f t="shared" si="4"/>
        <v>450</v>
      </c>
    </row>
    <row r="322" spans="1:8" ht="18" thickBot="1">
      <c r="A322" s="299" t="s">
        <v>735</v>
      </c>
      <c r="B322" s="249">
        <v>0</v>
      </c>
      <c r="C322" s="249">
        <v>0</v>
      </c>
      <c r="D322" s="407">
        <v>0</v>
      </c>
      <c r="E322" s="360">
        <v>324000</v>
      </c>
      <c r="F322" s="249">
        <v>495300</v>
      </c>
      <c r="G322" s="341">
        <v>431000</v>
      </c>
      <c r="H322" s="368">
        <f t="shared" si="4"/>
        <v>1250300</v>
      </c>
    </row>
    <row r="323" spans="1:8">
      <c r="A323" s="298"/>
      <c r="B323" s="245">
        <v>0</v>
      </c>
      <c r="C323" s="245">
        <v>0</v>
      </c>
      <c r="D323" s="396"/>
      <c r="E323" s="245">
        <v>0</v>
      </c>
      <c r="F323" s="245">
        <v>0</v>
      </c>
      <c r="G323" s="324"/>
      <c r="H323" s="368">
        <f t="shared" si="4"/>
        <v>0</v>
      </c>
    </row>
    <row r="324" spans="1:8">
      <c r="A324" s="298" t="s">
        <v>305</v>
      </c>
      <c r="B324" s="245">
        <v>0</v>
      </c>
      <c r="C324" s="245">
        <v>0</v>
      </c>
      <c r="D324" s="396"/>
      <c r="E324" s="245">
        <v>0</v>
      </c>
      <c r="F324" s="245">
        <v>0</v>
      </c>
      <c r="G324" s="324"/>
      <c r="H324" s="368">
        <f t="shared" si="4"/>
        <v>0</v>
      </c>
    </row>
    <row r="325" spans="1:8">
      <c r="A325" s="268" t="s">
        <v>306</v>
      </c>
      <c r="B325" s="245">
        <v>0</v>
      </c>
      <c r="C325" s="245">
        <v>374500</v>
      </c>
      <c r="D325" s="396">
        <v>374500</v>
      </c>
      <c r="E325" s="245">
        <v>383250</v>
      </c>
      <c r="F325" s="245">
        <v>0</v>
      </c>
      <c r="G325" s="324">
        <v>0</v>
      </c>
      <c r="H325" s="368">
        <f t="shared" si="4"/>
        <v>757750</v>
      </c>
    </row>
    <row r="326" spans="1:8">
      <c r="A326" s="268" t="s">
        <v>736</v>
      </c>
      <c r="B326" s="245">
        <v>0</v>
      </c>
      <c r="C326" s="245">
        <v>5220000</v>
      </c>
      <c r="D326" s="396">
        <v>5220000</v>
      </c>
      <c r="E326" s="245">
        <v>3670000</v>
      </c>
      <c r="F326" s="245">
        <v>0</v>
      </c>
      <c r="G326" s="324">
        <v>0</v>
      </c>
      <c r="H326" s="368">
        <f t="shared" si="4"/>
        <v>8890000</v>
      </c>
    </row>
    <row r="327" spans="1:8">
      <c r="A327" s="268" t="s">
        <v>737</v>
      </c>
      <c r="B327" s="245">
        <v>0</v>
      </c>
      <c r="C327" s="245">
        <v>189200.43</v>
      </c>
      <c r="D327" s="396">
        <v>189200.43</v>
      </c>
      <c r="E327" s="245">
        <v>196233.86</v>
      </c>
      <c r="F327" s="245">
        <v>0</v>
      </c>
      <c r="G327" s="324">
        <v>0</v>
      </c>
      <c r="H327" s="368">
        <f t="shared" si="4"/>
        <v>385434.29</v>
      </c>
    </row>
    <row r="328" spans="1:8" ht="17.45">
      <c r="A328" s="268" t="s">
        <v>738</v>
      </c>
      <c r="B328" s="245">
        <v>0</v>
      </c>
      <c r="C328" s="245">
        <v>300000</v>
      </c>
      <c r="D328" s="401">
        <v>300000</v>
      </c>
      <c r="E328" s="245">
        <v>0</v>
      </c>
      <c r="F328" s="245">
        <v>0</v>
      </c>
      <c r="G328" s="324">
        <v>0</v>
      </c>
      <c r="H328" s="368">
        <f t="shared" si="4"/>
        <v>300000</v>
      </c>
    </row>
    <row r="329" spans="1:8">
      <c r="A329" s="268" t="s">
        <v>310</v>
      </c>
      <c r="B329" s="245">
        <v>0</v>
      </c>
      <c r="C329" s="245">
        <v>322500</v>
      </c>
      <c r="D329" s="396">
        <v>322500</v>
      </c>
      <c r="E329" s="245">
        <v>385000</v>
      </c>
      <c r="F329" s="245">
        <v>0</v>
      </c>
      <c r="G329" s="324">
        <v>0</v>
      </c>
      <c r="H329" s="368">
        <f t="shared" ref="H329:H392" si="5">B329+C329+E329+F329+G329</f>
        <v>707500</v>
      </c>
    </row>
    <row r="330" spans="1:8" ht="17.45">
      <c r="A330" s="268" t="s">
        <v>311</v>
      </c>
      <c r="B330" s="245">
        <v>0</v>
      </c>
      <c r="C330" s="245">
        <v>66000</v>
      </c>
      <c r="D330" s="396">
        <v>66000</v>
      </c>
      <c r="E330" s="245">
        <v>44000</v>
      </c>
      <c r="F330" s="245">
        <v>0</v>
      </c>
      <c r="G330" s="325">
        <v>0</v>
      </c>
      <c r="H330" s="368">
        <f t="shared" si="5"/>
        <v>110000</v>
      </c>
    </row>
    <row r="331" spans="1:8">
      <c r="A331" s="271" t="s">
        <v>303</v>
      </c>
      <c r="B331" s="245">
        <v>0</v>
      </c>
      <c r="C331" s="245">
        <v>7550229.0300000003</v>
      </c>
      <c r="D331" s="396">
        <v>7550229.0300000003</v>
      </c>
      <c r="E331" s="245">
        <v>1709155</v>
      </c>
      <c r="F331" s="245">
        <v>0</v>
      </c>
      <c r="G331" s="324">
        <v>0</v>
      </c>
      <c r="H331" s="368">
        <f t="shared" si="5"/>
        <v>9259384.0300000012</v>
      </c>
    </row>
    <row r="332" spans="1:8" ht="18" thickBot="1">
      <c r="A332" s="276" t="s">
        <v>739</v>
      </c>
      <c r="B332" s="249">
        <v>0</v>
      </c>
      <c r="C332" s="249">
        <v>14022429.460000001</v>
      </c>
      <c r="D332" s="407">
        <v>14022429.460000001</v>
      </c>
      <c r="E332" s="360">
        <v>6387638.8600000003</v>
      </c>
      <c r="F332" s="249">
        <v>0</v>
      </c>
      <c r="G332" s="341">
        <v>0</v>
      </c>
      <c r="H332" s="368">
        <f t="shared" si="5"/>
        <v>20410068.32</v>
      </c>
    </row>
    <row r="333" spans="1:8">
      <c r="A333" s="275"/>
      <c r="B333" s="245"/>
      <c r="C333" s="245"/>
      <c r="D333" s="396"/>
      <c r="E333" s="245"/>
      <c r="F333" s="245"/>
      <c r="G333" s="324"/>
      <c r="H333" s="368">
        <f t="shared" si="5"/>
        <v>0</v>
      </c>
    </row>
    <row r="334" spans="1:8" ht="17.45">
      <c r="A334" s="298" t="s">
        <v>740</v>
      </c>
      <c r="B334" s="245"/>
      <c r="C334" s="245"/>
      <c r="D334" s="396"/>
      <c r="E334" s="352"/>
      <c r="F334" s="245"/>
      <c r="G334" s="324"/>
      <c r="H334" s="368">
        <f t="shared" si="5"/>
        <v>0</v>
      </c>
    </row>
    <row r="335" spans="1:8">
      <c r="A335" s="287" t="s">
        <v>314</v>
      </c>
      <c r="B335" s="245">
        <v>0</v>
      </c>
      <c r="C335" s="245">
        <v>0</v>
      </c>
      <c r="D335" s="396">
        <v>0</v>
      </c>
      <c r="E335" s="245">
        <v>0</v>
      </c>
      <c r="F335" s="245">
        <v>0</v>
      </c>
      <c r="G335" s="324">
        <v>0</v>
      </c>
      <c r="H335" s="368">
        <f t="shared" si="5"/>
        <v>0</v>
      </c>
    </row>
    <row r="336" spans="1:8">
      <c r="A336" s="277" t="s">
        <v>315</v>
      </c>
      <c r="B336" s="245">
        <v>0</v>
      </c>
      <c r="C336" s="245">
        <v>0</v>
      </c>
      <c r="D336" s="396">
        <v>0</v>
      </c>
      <c r="E336" s="245">
        <v>0</v>
      </c>
      <c r="F336" s="245">
        <v>0</v>
      </c>
      <c r="G336" s="324">
        <v>0</v>
      </c>
      <c r="H336" s="368">
        <f t="shared" si="5"/>
        <v>0</v>
      </c>
    </row>
    <row r="337" spans="1:8">
      <c r="A337" s="271" t="s">
        <v>316</v>
      </c>
      <c r="B337" s="245">
        <v>0</v>
      </c>
      <c r="C337" s="245">
        <v>0</v>
      </c>
      <c r="D337" s="396">
        <v>0</v>
      </c>
      <c r="E337" s="245">
        <v>0</v>
      </c>
      <c r="F337" s="245">
        <v>0</v>
      </c>
      <c r="G337" s="324">
        <v>0</v>
      </c>
      <c r="H337" s="368">
        <f t="shared" si="5"/>
        <v>0</v>
      </c>
    </row>
    <row r="338" spans="1:8">
      <c r="A338" s="271" t="s">
        <v>317</v>
      </c>
      <c r="B338" s="245">
        <v>0</v>
      </c>
      <c r="C338" s="245">
        <v>0</v>
      </c>
      <c r="D338" s="396">
        <v>0</v>
      </c>
      <c r="E338" s="245">
        <v>0</v>
      </c>
      <c r="F338" s="245">
        <v>0</v>
      </c>
      <c r="G338" s="324">
        <v>0</v>
      </c>
      <c r="H338" s="368">
        <f t="shared" si="5"/>
        <v>0</v>
      </c>
    </row>
    <row r="339" spans="1:8" ht="17.45">
      <c r="A339" s="271" t="s">
        <v>318</v>
      </c>
      <c r="B339" s="245">
        <v>0</v>
      </c>
      <c r="C339" s="245">
        <v>0</v>
      </c>
      <c r="D339" s="401">
        <v>0</v>
      </c>
      <c r="E339" s="245">
        <v>0</v>
      </c>
      <c r="F339" s="245">
        <v>0</v>
      </c>
      <c r="G339" s="324">
        <v>0</v>
      </c>
      <c r="H339" s="368">
        <f t="shared" si="5"/>
        <v>0</v>
      </c>
    </row>
    <row r="340" spans="1:8" ht="17.45">
      <c r="A340" s="271" t="s">
        <v>319</v>
      </c>
      <c r="B340" s="245">
        <v>0</v>
      </c>
      <c r="C340" s="245">
        <v>0</v>
      </c>
      <c r="D340" s="396">
        <v>0</v>
      </c>
      <c r="E340" s="352">
        <v>0</v>
      </c>
      <c r="F340" s="245">
        <v>0</v>
      </c>
      <c r="G340" s="324">
        <v>0</v>
      </c>
      <c r="H340" s="368">
        <f t="shared" si="5"/>
        <v>0</v>
      </c>
    </row>
    <row r="341" spans="1:8" ht="17.45">
      <c r="A341" s="271" t="s">
        <v>320</v>
      </c>
      <c r="B341" s="245">
        <v>0</v>
      </c>
      <c r="C341" s="245">
        <v>0</v>
      </c>
      <c r="D341" s="396">
        <v>0</v>
      </c>
      <c r="E341" s="245">
        <v>0</v>
      </c>
      <c r="F341" s="245">
        <v>0</v>
      </c>
      <c r="G341" s="325">
        <v>0</v>
      </c>
      <c r="H341" s="368">
        <f t="shared" si="5"/>
        <v>0</v>
      </c>
    </row>
    <row r="342" spans="1:8">
      <c r="A342" s="271" t="s">
        <v>303</v>
      </c>
      <c r="B342" s="245">
        <v>0</v>
      </c>
      <c r="C342" s="245">
        <v>0</v>
      </c>
      <c r="D342" s="396">
        <v>0</v>
      </c>
      <c r="E342" s="245">
        <v>0</v>
      </c>
      <c r="F342" s="245">
        <v>0</v>
      </c>
      <c r="G342" s="324">
        <v>0</v>
      </c>
      <c r="H342" s="368">
        <f t="shared" si="5"/>
        <v>0</v>
      </c>
    </row>
    <row r="343" spans="1:8" ht="18" thickBot="1">
      <c r="A343" s="276" t="s">
        <v>741</v>
      </c>
      <c r="B343" s="249">
        <v>0</v>
      </c>
      <c r="C343" s="249">
        <v>0</v>
      </c>
      <c r="D343" s="407">
        <v>0</v>
      </c>
      <c r="E343" s="247">
        <v>0</v>
      </c>
      <c r="F343" s="249">
        <v>0</v>
      </c>
      <c r="G343" s="341">
        <v>0</v>
      </c>
      <c r="H343" s="368">
        <f t="shared" si="5"/>
        <v>0</v>
      </c>
    </row>
    <row r="344" spans="1:8">
      <c r="A344" s="271"/>
      <c r="B344" s="245">
        <v>0</v>
      </c>
      <c r="C344" s="245">
        <v>0</v>
      </c>
      <c r="D344" s="396"/>
      <c r="E344" s="245">
        <v>0</v>
      </c>
      <c r="F344" s="245">
        <v>0</v>
      </c>
      <c r="G344" s="324"/>
      <c r="H344" s="368">
        <f t="shared" si="5"/>
        <v>0</v>
      </c>
    </row>
    <row r="345" spans="1:8" ht="17.45">
      <c r="A345" s="275" t="s">
        <v>742</v>
      </c>
      <c r="B345" s="245">
        <v>0</v>
      </c>
      <c r="C345" s="245">
        <v>0</v>
      </c>
      <c r="D345" s="401">
        <v>0</v>
      </c>
      <c r="E345" s="352">
        <v>0</v>
      </c>
      <c r="F345" s="245">
        <v>0</v>
      </c>
      <c r="G345" s="324">
        <v>0</v>
      </c>
      <c r="H345" s="368">
        <f t="shared" si="5"/>
        <v>0</v>
      </c>
    </row>
    <row r="346" spans="1:8">
      <c r="A346" s="296" t="s">
        <v>743</v>
      </c>
      <c r="B346" s="245">
        <v>0</v>
      </c>
      <c r="C346" s="245">
        <v>0</v>
      </c>
      <c r="D346" s="396">
        <v>0</v>
      </c>
      <c r="E346" s="245">
        <v>0</v>
      </c>
      <c r="F346" s="245">
        <v>0</v>
      </c>
      <c r="G346" s="324">
        <v>0</v>
      </c>
      <c r="H346" s="368">
        <f t="shared" si="5"/>
        <v>0</v>
      </c>
    </row>
    <row r="347" spans="1:8" ht="17.45">
      <c r="A347" s="286" t="s">
        <v>744</v>
      </c>
      <c r="B347" s="245">
        <v>0</v>
      </c>
      <c r="C347" s="245">
        <v>0</v>
      </c>
      <c r="D347" s="396">
        <v>0</v>
      </c>
      <c r="E347" s="245">
        <v>0</v>
      </c>
      <c r="F347" s="245">
        <v>0</v>
      </c>
      <c r="G347" s="325">
        <v>0</v>
      </c>
      <c r="H347" s="368">
        <f t="shared" si="5"/>
        <v>0</v>
      </c>
    </row>
    <row r="348" spans="1:8">
      <c r="A348" s="286" t="s">
        <v>334</v>
      </c>
      <c r="B348" s="245">
        <v>0</v>
      </c>
      <c r="C348" s="245">
        <v>0</v>
      </c>
      <c r="D348" s="396">
        <v>0</v>
      </c>
      <c r="E348" s="245">
        <v>0</v>
      </c>
      <c r="F348" s="245">
        <v>0</v>
      </c>
      <c r="G348" s="324">
        <v>0</v>
      </c>
      <c r="H348" s="368">
        <f t="shared" si="5"/>
        <v>0</v>
      </c>
    </row>
    <row r="349" spans="1:8" ht="18" thickBot="1">
      <c r="A349" s="276" t="s">
        <v>745</v>
      </c>
      <c r="B349" s="249">
        <v>0</v>
      </c>
      <c r="C349" s="249">
        <v>0</v>
      </c>
      <c r="D349" s="407">
        <v>0</v>
      </c>
      <c r="E349" s="352">
        <v>0</v>
      </c>
      <c r="F349" s="249">
        <v>0</v>
      </c>
      <c r="G349" s="341">
        <v>0</v>
      </c>
      <c r="H349" s="368">
        <f t="shared" si="5"/>
        <v>0</v>
      </c>
    </row>
    <row r="350" spans="1:8">
      <c r="A350" s="275"/>
      <c r="B350" s="245">
        <v>0</v>
      </c>
      <c r="C350" s="245">
        <v>0</v>
      </c>
      <c r="D350" s="396"/>
      <c r="E350" s="245">
        <v>0</v>
      </c>
      <c r="F350" s="245">
        <v>0</v>
      </c>
      <c r="G350" s="324"/>
      <c r="H350" s="368">
        <f t="shared" si="5"/>
        <v>0</v>
      </c>
    </row>
    <row r="351" spans="1:8">
      <c r="A351" s="298" t="s">
        <v>322</v>
      </c>
      <c r="B351" s="245">
        <v>0</v>
      </c>
      <c r="C351" s="245">
        <v>0</v>
      </c>
      <c r="D351" s="396"/>
      <c r="E351" s="245">
        <v>0</v>
      </c>
      <c r="F351" s="245">
        <v>0</v>
      </c>
      <c r="G351" s="324"/>
      <c r="H351" s="368">
        <f t="shared" si="5"/>
        <v>0</v>
      </c>
    </row>
    <row r="352" spans="1:8" ht="18">
      <c r="A352" s="300" t="s">
        <v>323</v>
      </c>
      <c r="B352" s="245">
        <v>7222350</v>
      </c>
      <c r="C352" s="245">
        <v>3596100</v>
      </c>
      <c r="D352" s="396">
        <v>3596100</v>
      </c>
      <c r="E352" s="245">
        <v>0</v>
      </c>
      <c r="F352" s="245">
        <v>0</v>
      </c>
      <c r="G352" s="324">
        <v>0</v>
      </c>
      <c r="H352" s="368">
        <f t="shared" si="5"/>
        <v>10818450</v>
      </c>
    </row>
    <row r="353" spans="1:8" ht="18">
      <c r="A353" s="300" t="s">
        <v>324</v>
      </c>
      <c r="B353" s="245">
        <v>42</v>
      </c>
      <c r="C353" s="245">
        <v>141</v>
      </c>
      <c r="D353" s="396">
        <v>141</v>
      </c>
      <c r="E353" s="245">
        <v>0</v>
      </c>
      <c r="F353" s="245">
        <v>0</v>
      </c>
      <c r="G353" s="324">
        <v>0</v>
      </c>
      <c r="H353" s="368">
        <f t="shared" si="5"/>
        <v>183</v>
      </c>
    </row>
    <row r="354" spans="1:8" ht="18">
      <c r="A354" s="300" t="s">
        <v>325</v>
      </c>
      <c r="B354" s="245">
        <v>0</v>
      </c>
      <c r="C354" s="245">
        <v>0</v>
      </c>
      <c r="D354" s="396">
        <v>0</v>
      </c>
      <c r="E354" s="245">
        <v>0</v>
      </c>
      <c r="F354" s="245">
        <v>0</v>
      </c>
      <c r="G354" s="324">
        <v>0</v>
      </c>
      <c r="H354" s="368">
        <f t="shared" si="5"/>
        <v>0</v>
      </c>
    </row>
    <row r="355" spans="1:8" ht="18">
      <c r="A355" s="300" t="s">
        <v>326</v>
      </c>
      <c r="B355" s="245">
        <v>90000</v>
      </c>
      <c r="C355" s="245">
        <v>7500</v>
      </c>
      <c r="D355" s="396">
        <v>7500</v>
      </c>
      <c r="E355" s="245">
        <v>0</v>
      </c>
      <c r="F355" s="245">
        <v>0</v>
      </c>
      <c r="G355" s="324">
        <v>0</v>
      </c>
      <c r="H355" s="368">
        <f t="shared" si="5"/>
        <v>97500</v>
      </c>
    </row>
    <row r="356" spans="1:8" ht="18">
      <c r="A356" s="300" t="s">
        <v>746</v>
      </c>
      <c r="B356" s="245">
        <v>997400</v>
      </c>
      <c r="C356" s="245">
        <v>540750</v>
      </c>
      <c r="D356" s="396">
        <v>540750</v>
      </c>
      <c r="E356" s="352">
        <v>0</v>
      </c>
      <c r="F356" s="245">
        <v>0</v>
      </c>
      <c r="G356" s="324">
        <v>0</v>
      </c>
      <c r="H356" s="368">
        <f t="shared" si="5"/>
        <v>1538150</v>
      </c>
    </row>
    <row r="357" spans="1:8" ht="18">
      <c r="A357" s="300" t="s">
        <v>747</v>
      </c>
      <c r="B357" s="245">
        <v>13200</v>
      </c>
      <c r="C357" s="245">
        <v>2200</v>
      </c>
      <c r="D357" s="396">
        <v>2200</v>
      </c>
      <c r="E357" s="245">
        <v>0</v>
      </c>
      <c r="F357" s="245">
        <v>0</v>
      </c>
      <c r="G357" s="324">
        <v>0</v>
      </c>
      <c r="H357" s="368">
        <f t="shared" si="5"/>
        <v>15400</v>
      </c>
    </row>
    <row r="358" spans="1:8" ht="18">
      <c r="A358" s="300" t="s">
        <v>748</v>
      </c>
      <c r="B358" s="245">
        <v>497200</v>
      </c>
      <c r="C358" s="245">
        <v>184800</v>
      </c>
      <c r="D358" s="396">
        <v>184800</v>
      </c>
      <c r="E358" s="245">
        <v>0</v>
      </c>
      <c r="F358" s="245">
        <v>0</v>
      </c>
      <c r="G358" s="324">
        <v>0</v>
      </c>
      <c r="H358" s="368">
        <f t="shared" si="5"/>
        <v>682000</v>
      </c>
    </row>
    <row r="359" spans="1:8">
      <c r="A359" s="286" t="s">
        <v>749</v>
      </c>
      <c r="B359" s="245">
        <v>0</v>
      </c>
      <c r="C359" s="245">
        <v>0</v>
      </c>
      <c r="D359" s="396">
        <v>0</v>
      </c>
      <c r="E359" s="245">
        <v>0</v>
      </c>
      <c r="F359" s="245">
        <v>0</v>
      </c>
      <c r="G359" s="324">
        <v>0</v>
      </c>
      <c r="H359" s="368">
        <f t="shared" si="5"/>
        <v>0</v>
      </c>
    </row>
    <row r="360" spans="1:8" ht="17.45">
      <c r="A360" s="286" t="s">
        <v>750</v>
      </c>
      <c r="B360" s="245">
        <v>55850</v>
      </c>
      <c r="C360" s="245">
        <v>27600</v>
      </c>
      <c r="D360" s="404">
        <v>27600</v>
      </c>
      <c r="E360" s="245">
        <v>0</v>
      </c>
      <c r="F360" s="245">
        <v>0</v>
      </c>
      <c r="G360" s="324">
        <v>0</v>
      </c>
      <c r="H360" s="368">
        <f t="shared" si="5"/>
        <v>83450</v>
      </c>
    </row>
    <row r="361" spans="1:8">
      <c r="A361" s="286" t="s">
        <v>332</v>
      </c>
      <c r="B361" s="245">
        <v>0</v>
      </c>
      <c r="C361" s="245">
        <v>0</v>
      </c>
      <c r="D361" s="396">
        <v>0</v>
      </c>
      <c r="E361" s="245">
        <v>0</v>
      </c>
      <c r="F361" s="245">
        <v>0</v>
      </c>
      <c r="G361" s="324">
        <v>0</v>
      </c>
      <c r="H361" s="368">
        <f t="shared" si="5"/>
        <v>0</v>
      </c>
    </row>
    <row r="362" spans="1:8" ht="17.45">
      <c r="A362" s="286" t="s">
        <v>333</v>
      </c>
      <c r="B362" s="245">
        <v>0</v>
      </c>
      <c r="C362" s="245">
        <v>0</v>
      </c>
      <c r="D362" s="396">
        <v>0</v>
      </c>
      <c r="E362" s="245">
        <v>0</v>
      </c>
      <c r="F362" s="245">
        <v>0</v>
      </c>
      <c r="G362" s="334">
        <v>0</v>
      </c>
      <c r="H362" s="368">
        <f t="shared" si="5"/>
        <v>0</v>
      </c>
    </row>
    <row r="363" spans="1:8" ht="18">
      <c r="A363" s="300" t="s">
        <v>334</v>
      </c>
      <c r="B363" s="245">
        <v>0</v>
      </c>
      <c r="C363" s="245">
        <v>0</v>
      </c>
      <c r="D363" s="396">
        <v>0</v>
      </c>
      <c r="E363" s="321">
        <v>0</v>
      </c>
      <c r="F363" s="245">
        <v>0</v>
      </c>
      <c r="G363" s="324">
        <v>0</v>
      </c>
      <c r="H363" s="368">
        <f t="shared" si="5"/>
        <v>0</v>
      </c>
    </row>
    <row r="364" spans="1:8" ht="18" thickBot="1">
      <c r="A364" s="280" t="s">
        <v>751</v>
      </c>
      <c r="B364" s="250">
        <v>8876042</v>
      </c>
      <c r="C364" s="250">
        <v>4359091</v>
      </c>
      <c r="D364" s="413">
        <v>4359091</v>
      </c>
      <c r="E364" s="247"/>
      <c r="F364" s="258">
        <v>0</v>
      </c>
      <c r="G364" s="341">
        <v>0</v>
      </c>
      <c r="H364" s="368">
        <f t="shared" si="5"/>
        <v>13235133</v>
      </c>
    </row>
    <row r="365" spans="1:8">
      <c r="A365" s="293"/>
      <c r="B365" s="245"/>
      <c r="C365" s="245"/>
      <c r="D365" s="396"/>
      <c r="E365" s="245"/>
      <c r="F365" s="245"/>
      <c r="G365" s="324"/>
      <c r="H365" s="368">
        <f t="shared" si="5"/>
        <v>0</v>
      </c>
    </row>
    <row r="366" spans="1:8" ht="17.45">
      <c r="A366" s="298" t="s">
        <v>287</v>
      </c>
      <c r="B366" s="245"/>
      <c r="C366" s="245"/>
      <c r="D366" s="404"/>
      <c r="E366" s="245">
        <v>0</v>
      </c>
      <c r="F366" s="245"/>
      <c r="G366" s="324"/>
      <c r="H366" s="368">
        <f t="shared" si="5"/>
        <v>0</v>
      </c>
    </row>
    <row r="367" spans="1:8">
      <c r="A367" s="286" t="s">
        <v>723</v>
      </c>
      <c r="B367" s="245">
        <v>0</v>
      </c>
      <c r="C367" s="245">
        <v>0</v>
      </c>
      <c r="D367" s="396">
        <v>0</v>
      </c>
      <c r="E367" s="245"/>
      <c r="F367" s="245">
        <v>0</v>
      </c>
      <c r="G367" s="324">
        <v>0</v>
      </c>
      <c r="H367" s="368">
        <f t="shared" si="5"/>
        <v>0</v>
      </c>
    </row>
    <row r="368" spans="1:8" ht="17.45">
      <c r="A368" s="286" t="s">
        <v>289</v>
      </c>
      <c r="B368" s="245">
        <v>0</v>
      </c>
      <c r="C368" s="245">
        <v>0</v>
      </c>
      <c r="D368" s="396">
        <v>0</v>
      </c>
      <c r="E368" s="245">
        <v>0</v>
      </c>
      <c r="F368" s="245">
        <v>0</v>
      </c>
      <c r="G368" s="334">
        <v>0</v>
      </c>
      <c r="H368" s="368">
        <f t="shared" si="5"/>
        <v>0</v>
      </c>
    </row>
    <row r="369" spans="1:8">
      <c r="A369" s="296" t="s">
        <v>158</v>
      </c>
      <c r="B369" s="245">
        <v>3570</v>
      </c>
      <c r="C369" s="245">
        <v>29870</v>
      </c>
      <c r="D369" s="396">
        <v>29870</v>
      </c>
      <c r="E369" s="245">
        <v>12220</v>
      </c>
      <c r="F369" s="245">
        <v>823144.99</v>
      </c>
      <c r="G369" s="324">
        <v>115778</v>
      </c>
      <c r="H369" s="368">
        <f t="shared" si="5"/>
        <v>984582.99</v>
      </c>
    </row>
    <row r="370" spans="1:8" ht="18" thickBot="1">
      <c r="A370" s="272" t="s">
        <v>752</v>
      </c>
      <c r="B370" s="250">
        <v>3570</v>
      </c>
      <c r="C370" s="250">
        <v>29870</v>
      </c>
      <c r="D370" s="413">
        <v>29870</v>
      </c>
      <c r="E370" s="355">
        <v>12220</v>
      </c>
      <c r="F370" s="258">
        <v>823144.99</v>
      </c>
      <c r="G370" s="341">
        <v>115778</v>
      </c>
      <c r="H370" s="368">
        <f t="shared" si="5"/>
        <v>984582.99</v>
      </c>
    </row>
    <row r="371" spans="1:8" ht="17.45">
      <c r="A371" s="293"/>
      <c r="B371" s="245"/>
      <c r="C371" s="245"/>
      <c r="D371" s="404"/>
      <c r="E371" s="245"/>
      <c r="F371" s="245"/>
      <c r="G371" s="324"/>
      <c r="H371" s="368">
        <f t="shared" si="5"/>
        <v>0</v>
      </c>
    </row>
    <row r="372" spans="1:8">
      <c r="A372" s="298" t="s">
        <v>753</v>
      </c>
      <c r="B372" s="245"/>
      <c r="C372" s="245"/>
      <c r="D372" s="396"/>
      <c r="E372" s="245"/>
      <c r="F372" s="245"/>
      <c r="G372" s="324"/>
      <c r="H372" s="368">
        <f t="shared" si="5"/>
        <v>0</v>
      </c>
    </row>
    <row r="373" spans="1:8" ht="17.45">
      <c r="A373" s="296" t="s">
        <v>158</v>
      </c>
      <c r="B373" s="245">
        <v>0</v>
      </c>
      <c r="C373" s="245">
        <v>0</v>
      </c>
      <c r="D373" s="396">
        <v>0</v>
      </c>
      <c r="E373" s="245"/>
      <c r="F373" s="245">
        <v>72</v>
      </c>
      <c r="G373" s="334">
        <v>0</v>
      </c>
      <c r="H373" s="368">
        <f t="shared" si="5"/>
        <v>72</v>
      </c>
    </row>
    <row r="374" spans="1:8">
      <c r="A374" s="286" t="s">
        <v>358</v>
      </c>
      <c r="B374" s="245">
        <v>0</v>
      </c>
      <c r="C374" s="245">
        <v>0</v>
      </c>
      <c r="D374" s="396">
        <v>0</v>
      </c>
      <c r="E374" s="245">
        <v>0</v>
      </c>
      <c r="F374" s="245">
        <v>0</v>
      </c>
      <c r="G374" s="324">
        <v>0</v>
      </c>
      <c r="H374" s="368">
        <f t="shared" si="5"/>
        <v>0</v>
      </c>
    </row>
    <row r="375" spans="1:8" ht="18" thickBot="1">
      <c r="A375" s="272" t="s">
        <v>754</v>
      </c>
      <c r="B375" s="250">
        <v>0</v>
      </c>
      <c r="C375" s="250">
        <v>0</v>
      </c>
      <c r="D375" s="396">
        <v>0</v>
      </c>
      <c r="E375" s="352">
        <v>0</v>
      </c>
      <c r="F375" s="258">
        <v>72</v>
      </c>
      <c r="G375" s="341">
        <v>0</v>
      </c>
      <c r="H375" s="368">
        <f t="shared" si="5"/>
        <v>72</v>
      </c>
    </row>
    <row r="376" spans="1:8" ht="17.45">
      <c r="A376" s="286"/>
      <c r="B376" s="245">
        <v>0</v>
      </c>
      <c r="C376" s="245">
        <v>0</v>
      </c>
      <c r="D376" s="404"/>
      <c r="E376" s="321">
        <v>0</v>
      </c>
      <c r="F376" s="245">
        <v>0</v>
      </c>
      <c r="G376" s="324"/>
      <c r="H376" s="368">
        <f t="shared" si="5"/>
        <v>0</v>
      </c>
    </row>
    <row r="377" spans="1:8">
      <c r="A377" s="275" t="s">
        <v>755</v>
      </c>
      <c r="B377" s="245">
        <v>0</v>
      </c>
      <c r="C377" s="245">
        <v>0</v>
      </c>
      <c r="D377" s="396"/>
      <c r="E377" s="245">
        <v>0</v>
      </c>
      <c r="F377" s="245">
        <v>0</v>
      </c>
      <c r="G377" s="324"/>
      <c r="H377" s="368">
        <f t="shared" si="5"/>
        <v>0</v>
      </c>
    </row>
    <row r="378" spans="1:8" ht="17.45">
      <c r="A378" s="277" t="s">
        <v>337</v>
      </c>
      <c r="B378" s="245">
        <v>0</v>
      </c>
      <c r="C378" s="245">
        <v>56239.98</v>
      </c>
      <c r="D378" s="396">
        <v>56239.979999999996</v>
      </c>
      <c r="E378" s="245">
        <v>9773.9</v>
      </c>
      <c r="F378" s="245">
        <v>318.43</v>
      </c>
      <c r="G378" s="334">
        <v>186606.15</v>
      </c>
      <c r="H378" s="368">
        <f t="shared" si="5"/>
        <v>252938.46</v>
      </c>
    </row>
    <row r="379" spans="1:8">
      <c r="A379" s="271" t="s">
        <v>116</v>
      </c>
      <c r="B379" s="245">
        <v>95000</v>
      </c>
      <c r="C379" s="245">
        <v>427388.15</v>
      </c>
      <c r="D379" s="396">
        <v>427388.15</v>
      </c>
      <c r="E379" s="245">
        <v>369740.89</v>
      </c>
      <c r="F379" s="245">
        <v>44958.82</v>
      </c>
      <c r="G379" s="324">
        <v>34667.83</v>
      </c>
      <c r="H379" s="368">
        <f t="shared" si="5"/>
        <v>971755.69</v>
      </c>
    </row>
    <row r="380" spans="1:8" ht="18" thickBot="1">
      <c r="A380" s="276" t="s">
        <v>756</v>
      </c>
      <c r="B380" s="250">
        <v>95000</v>
      </c>
      <c r="C380" s="250">
        <f>C379+C378</f>
        <v>483628.13</v>
      </c>
      <c r="D380" s="407">
        <f>D379+D378</f>
        <v>483628.13</v>
      </c>
      <c r="E380" s="355">
        <v>379514.79000000004</v>
      </c>
      <c r="F380" s="258">
        <v>45277.25</v>
      </c>
      <c r="G380" s="341">
        <v>221273.97999999998</v>
      </c>
      <c r="H380" s="368">
        <f t="shared" si="5"/>
        <v>1224694.1499999999</v>
      </c>
    </row>
    <row r="381" spans="1:8">
      <c r="A381" s="271"/>
      <c r="B381" s="245">
        <v>0</v>
      </c>
      <c r="C381" s="245">
        <v>0</v>
      </c>
      <c r="D381" s="396"/>
      <c r="E381" s="245">
        <v>0</v>
      </c>
      <c r="F381" s="245">
        <v>0</v>
      </c>
      <c r="G381" s="324"/>
      <c r="H381" s="368">
        <f t="shared" si="5"/>
        <v>0</v>
      </c>
    </row>
    <row r="382" spans="1:8">
      <c r="A382" s="275" t="s">
        <v>757</v>
      </c>
      <c r="B382" s="245">
        <v>0</v>
      </c>
      <c r="C382" s="245">
        <v>0</v>
      </c>
      <c r="D382" s="396"/>
      <c r="E382" s="245">
        <v>0</v>
      </c>
      <c r="F382" s="245">
        <v>0</v>
      </c>
      <c r="G382" s="324"/>
      <c r="H382" s="368">
        <f t="shared" si="5"/>
        <v>0</v>
      </c>
    </row>
    <row r="383" spans="1:8" ht="17.45">
      <c r="A383" s="271" t="s">
        <v>758</v>
      </c>
      <c r="B383" s="245">
        <v>0</v>
      </c>
      <c r="C383" s="245">
        <v>0</v>
      </c>
      <c r="D383" s="404">
        <v>0</v>
      </c>
      <c r="E383" s="352">
        <v>0</v>
      </c>
      <c r="F383" s="245">
        <v>0</v>
      </c>
      <c r="G383" s="324">
        <v>0</v>
      </c>
      <c r="H383" s="368">
        <f t="shared" si="5"/>
        <v>0</v>
      </c>
    </row>
    <row r="384" spans="1:8">
      <c r="A384" s="271" t="s">
        <v>759</v>
      </c>
      <c r="B384" s="245">
        <v>0</v>
      </c>
      <c r="C384" s="245">
        <v>0</v>
      </c>
      <c r="D384" s="396">
        <v>0</v>
      </c>
      <c r="E384" s="245">
        <v>0</v>
      </c>
      <c r="F384" s="245">
        <v>0</v>
      </c>
      <c r="G384" s="324">
        <v>0</v>
      </c>
      <c r="H384" s="368">
        <f t="shared" si="5"/>
        <v>0</v>
      </c>
    </row>
    <row r="385" spans="1:8" ht="17.45">
      <c r="A385" s="271" t="s">
        <v>760</v>
      </c>
      <c r="B385" s="245">
        <v>0</v>
      </c>
      <c r="C385" s="245">
        <v>0</v>
      </c>
      <c r="D385" s="396">
        <v>0</v>
      </c>
      <c r="E385" s="245">
        <v>0</v>
      </c>
      <c r="F385" s="245">
        <v>0</v>
      </c>
      <c r="G385" s="334">
        <v>0</v>
      </c>
      <c r="H385" s="368">
        <f t="shared" si="5"/>
        <v>0</v>
      </c>
    </row>
    <row r="386" spans="1:8">
      <c r="A386" s="271" t="s">
        <v>761</v>
      </c>
      <c r="B386" s="245">
        <v>0</v>
      </c>
      <c r="C386" s="245">
        <v>0</v>
      </c>
      <c r="D386" s="396">
        <v>0</v>
      </c>
      <c r="E386" s="245">
        <v>0</v>
      </c>
      <c r="F386" s="245">
        <v>0</v>
      </c>
      <c r="G386" s="324">
        <v>0</v>
      </c>
      <c r="H386" s="368">
        <f t="shared" si="5"/>
        <v>0</v>
      </c>
    </row>
    <row r="387" spans="1:8" ht="18" thickBot="1">
      <c r="A387" s="262" t="s">
        <v>762</v>
      </c>
      <c r="B387" s="250">
        <v>0</v>
      </c>
      <c r="C387" s="250">
        <v>0</v>
      </c>
      <c r="D387" s="407">
        <v>0</v>
      </c>
      <c r="E387" s="355">
        <v>0</v>
      </c>
      <c r="F387" s="258">
        <v>0</v>
      </c>
      <c r="G387" s="341">
        <v>0</v>
      </c>
      <c r="H387" s="368">
        <f t="shared" si="5"/>
        <v>0</v>
      </c>
    </row>
    <row r="388" spans="1:8">
      <c r="A388" s="271"/>
      <c r="B388" s="245"/>
      <c r="C388" s="245"/>
      <c r="D388" s="396"/>
      <c r="E388" s="245"/>
      <c r="F388" s="245"/>
      <c r="G388" s="324"/>
      <c r="H388" s="368">
        <f t="shared" si="5"/>
        <v>0</v>
      </c>
    </row>
    <row r="389" spans="1:8">
      <c r="A389" s="301" t="s">
        <v>763</v>
      </c>
      <c r="B389" s="245"/>
      <c r="C389" s="245"/>
      <c r="D389" s="396"/>
      <c r="E389" s="245"/>
      <c r="F389" s="245"/>
      <c r="G389" s="324"/>
      <c r="H389" s="368">
        <f t="shared" si="5"/>
        <v>0</v>
      </c>
    </row>
    <row r="390" spans="1:8">
      <c r="A390" s="268" t="s">
        <v>343</v>
      </c>
      <c r="B390" s="245">
        <v>0</v>
      </c>
      <c r="C390" s="245">
        <v>0</v>
      </c>
      <c r="D390" s="396">
        <v>0</v>
      </c>
      <c r="E390" s="245">
        <v>0</v>
      </c>
      <c r="F390" s="245">
        <v>0</v>
      </c>
      <c r="G390" s="324">
        <v>0</v>
      </c>
      <c r="H390" s="368">
        <f t="shared" si="5"/>
        <v>0</v>
      </c>
    </row>
    <row r="391" spans="1:8">
      <c r="A391" s="268" t="s">
        <v>344</v>
      </c>
      <c r="B391" s="245">
        <v>0</v>
      </c>
      <c r="C391" s="245">
        <v>0</v>
      </c>
      <c r="D391" s="396">
        <v>0</v>
      </c>
      <c r="E391" s="245">
        <v>0</v>
      </c>
      <c r="F391" s="245">
        <v>0</v>
      </c>
      <c r="G391" s="324">
        <v>0</v>
      </c>
      <c r="H391" s="368">
        <f t="shared" si="5"/>
        <v>0</v>
      </c>
    </row>
    <row r="392" spans="1:8">
      <c r="A392" s="273" t="s">
        <v>345</v>
      </c>
      <c r="B392" s="245">
        <v>0</v>
      </c>
      <c r="C392" s="245">
        <v>0</v>
      </c>
      <c r="D392" s="396">
        <v>0</v>
      </c>
      <c r="E392" s="245">
        <v>0</v>
      </c>
      <c r="F392" s="245">
        <v>0</v>
      </c>
      <c r="G392" s="324">
        <v>0</v>
      </c>
      <c r="H392" s="368">
        <f t="shared" si="5"/>
        <v>0</v>
      </c>
    </row>
    <row r="393" spans="1:8">
      <c r="A393" s="273" t="s">
        <v>346</v>
      </c>
      <c r="B393" s="245">
        <v>0</v>
      </c>
      <c r="C393" s="245">
        <v>0</v>
      </c>
      <c r="D393" s="396">
        <v>0</v>
      </c>
      <c r="E393" s="245">
        <v>0</v>
      </c>
      <c r="F393" s="245">
        <v>0</v>
      </c>
      <c r="G393" s="324">
        <v>0</v>
      </c>
      <c r="H393" s="368">
        <f t="shared" ref="H393:H456" si="6">B393+C393+E393+F393+G393</f>
        <v>0</v>
      </c>
    </row>
    <row r="394" spans="1:8">
      <c r="A394" s="268" t="s">
        <v>347</v>
      </c>
      <c r="B394" s="245">
        <v>0</v>
      </c>
      <c r="C394" s="245">
        <v>0</v>
      </c>
      <c r="D394" s="396">
        <v>0</v>
      </c>
      <c r="E394" s="245">
        <v>0</v>
      </c>
      <c r="F394" s="245">
        <v>0</v>
      </c>
      <c r="G394" s="324">
        <v>0</v>
      </c>
      <c r="H394" s="368">
        <f t="shared" si="6"/>
        <v>0</v>
      </c>
    </row>
    <row r="395" spans="1:8" ht="17.45">
      <c r="A395" s="268" t="s">
        <v>348</v>
      </c>
      <c r="B395" s="245">
        <v>0</v>
      </c>
      <c r="C395" s="245">
        <v>0</v>
      </c>
      <c r="D395" s="396">
        <v>0</v>
      </c>
      <c r="E395" s="352">
        <v>0</v>
      </c>
      <c r="F395" s="245">
        <v>0</v>
      </c>
      <c r="G395" s="324">
        <v>0</v>
      </c>
      <c r="H395" s="368">
        <f t="shared" si="6"/>
        <v>0</v>
      </c>
    </row>
    <row r="396" spans="1:8">
      <c r="A396" s="268" t="s">
        <v>349</v>
      </c>
      <c r="B396" s="245">
        <v>0</v>
      </c>
      <c r="C396" s="245">
        <v>0</v>
      </c>
      <c r="D396" s="396">
        <v>0</v>
      </c>
      <c r="E396" s="245">
        <v>0</v>
      </c>
      <c r="F396" s="245">
        <v>0</v>
      </c>
      <c r="G396" s="324">
        <v>0</v>
      </c>
      <c r="H396" s="368">
        <f t="shared" si="6"/>
        <v>0</v>
      </c>
    </row>
    <row r="397" spans="1:8">
      <c r="A397" s="268" t="s">
        <v>764</v>
      </c>
      <c r="B397" s="245">
        <v>0</v>
      </c>
      <c r="C397" s="245">
        <v>0</v>
      </c>
      <c r="D397" s="396">
        <v>0</v>
      </c>
      <c r="E397" s="245">
        <v>0</v>
      </c>
      <c r="F397" s="245">
        <v>0</v>
      </c>
      <c r="G397" s="324">
        <v>0</v>
      </c>
      <c r="H397" s="368">
        <f t="shared" si="6"/>
        <v>0</v>
      </c>
    </row>
    <row r="398" spans="1:8">
      <c r="A398" s="268" t="s">
        <v>351</v>
      </c>
      <c r="B398" s="245">
        <v>0</v>
      </c>
      <c r="C398" s="245">
        <v>0</v>
      </c>
      <c r="D398" s="396">
        <v>0</v>
      </c>
      <c r="E398" s="245">
        <v>0</v>
      </c>
      <c r="F398" s="245">
        <v>0</v>
      </c>
      <c r="G398" s="324">
        <v>0</v>
      </c>
      <c r="H398" s="368">
        <f t="shared" si="6"/>
        <v>0</v>
      </c>
    </row>
    <row r="399" spans="1:8">
      <c r="A399" s="268" t="s">
        <v>352</v>
      </c>
      <c r="B399" s="245">
        <v>0</v>
      </c>
      <c r="C399" s="245">
        <v>0</v>
      </c>
      <c r="D399" s="396">
        <v>0</v>
      </c>
      <c r="E399" s="245">
        <v>0</v>
      </c>
      <c r="F399" s="245">
        <v>0</v>
      </c>
      <c r="G399" s="324">
        <v>0</v>
      </c>
      <c r="H399" s="368">
        <f t="shared" si="6"/>
        <v>0</v>
      </c>
    </row>
    <row r="400" spans="1:8" ht="17.45">
      <c r="A400" s="302" t="s">
        <v>353</v>
      </c>
      <c r="B400" s="245">
        <v>0</v>
      </c>
      <c r="C400" s="245">
        <v>0</v>
      </c>
      <c r="D400" s="404">
        <v>0</v>
      </c>
      <c r="E400" s="245">
        <v>0</v>
      </c>
      <c r="F400" s="245">
        <v>0</v>
      </c>
      <c r="G400" s="324">
        <v>0</v>
      </c>
      <c r="H400" s="368">
        <f t="shared" si="6"/>
        <v>0</v>
      </c>
    </row>
    <row r="401" spans="1:8">
      <c r="A401" s="282" t="s">
        <v>354</v>
      </c>
      <c r="B401" s="245">
        <v>0</v>
      </c>
      <c r="C401" s="245">
        <v>0</v>
      </c>
      <c r="D401" s="396">
        <v>0</v>
      </c>
      <c r="E401" s="245">
        <v>0</v>
      </c>
      <c r="F401" s="245">
        <v>0</v>
      </c>
      <c r="G401" s="324">
        <v>0</v>
      </c>
      <c r="H401" s="368">
        <f t="shared" si="6"/>
        <v>0</v>
      </c>
    </row>
    <row r="402" spans="1:8" ht="17.45">
      <c r="A402" s="282" t="s">
        <v>765</v>
      </c>
      <c r="B402" s="245">
        <v>0</v>
      </c>
      <c r="C402" s="245">
        <v>0</v>
      </c>
      <c r="D402" s="396">
        <v>0</v>
      </c>
      <c r="E402" s="245">
        <v>0</v>
      </c>
      <c r="F402" s="245">
        <v>0</v>
      </c>
      <c r="G402" s="334">
        <v>0</v>
      </c>
      <c r="H402" s="368">
        <f t="shared" si="6"/>
        <v>0</v>
      </c>
    </row>
    <row r="403" spans="1:8">
      <c r="A403" s="303" t="s">
        <v>766</v>
      </c>
      <c r="B403" s="245">
        <v>0</v>
      </c>
      <c r="C403" s="245">
        <v>0</v>
      </c>
      <c r="D403" s="396">
        <v>0</v>
      </c>
      <c r="E403" s="321">
        <v>0</v>
      </c>
      <c r="F403" s="245">
        <v>0</v>
      </c>
      <c r="G403" s="324">
        <v>0</v>
      </c>
      <c r="H403" s="368">
        <f t="shared" si="6"/>
        <v>0</v>
      </c>
    </row>
    <row r="404" spans="1:8" ht="18" thickBot="1">
      <c r="A404" s="304" t="s">
        <v>767</v>
      </c>
      <c r="B404" s="250">
        <v>0</v>
      </c>
      <c r="C404" s="250">
        <v>0</v>
      </c>
      <c r="D404" s="407">
        <v>0</v>
      </c>
      <c r="E404" s="352">
        <v>0</v>
      </c>
      <c r="F404" s="258">
        <v>0</v>
      </c>
      <c r="G404" s="341">
        <v>0</v>
      </c>
      <c r="H404" s="368">
        <f t="shared" si="6"/>
        <v>0</v>
      </c>
    </row>
    <row r="405" spans="1:8">
      <c r="A405" s="271"/>
      <c r="B405" s="245">
        <v>0</v>
      </c>
      <c r="C405" s="245">
        <v>0</v>
      </c>
      <c r="D405" s="396"/>
      <c r="E405" s="245">
        <v>0</v>
      </c>
      <c r="F405" s="245">
        <v>0</v>
      </c>
      <c r="G405" s="324"/>
      <c r="H405" s="368">
        <f t="shared" si="6"/>
        <v>0</v>
      </c>
    </row>
    <row r="406" spans="1:8">
      <c r="A406" s="305" t="s">
        <v>768</v>
      </c>
      <c r="B406" s="245">
        <v>0</v>
      </c>
      <c r="C406" s="245">
        <v>0</v>
      </c>
      <c r="D406" s="396"/>
      <c r="E406" s="245">
        <v>0</v>
      </c>
      <c r="F406" s="245">
        <v>0</v>
      </c>
      <c r="G406" s="324"/>
      <c r="H406" s="368">
        <f t="shared" si="6"/>
        <v>0</v>
      </c>
    </row>
    <row r="407" spans="1:8">
      <c r="A407" s="273" t="s">
        <v>251</v>
      </c>
      <c r="B407" s="245">
        <v>0</v>
      </c>
      <c r="C407" s="245">
        <v>0</v>
      </c>
      <c r="D407" s="396">
        <v>0</v>
      </c>
      <c r="E407" s="245">
        <v>0</v>
      </c>
      <c r="F407" s="245">
        <v>0</v>
      </c>
      <c r="G407" s="324">
        <v>0</v>
      </c>
      <c r="H407" s="368">
        <f t="shared" si="6"/>
        <v>0</v>
      </c>
    </row>
    <row r="408" spans="1:8">
      <c r="A408" s="268" t="s">
        <v>358</v>
      </c>
      <c r="B408" s="245">
        <v>0</v>
      </c>
      <c r="C408" s="245">
        <v>0</v>
      </c>
      <c r="D408" s="396">
        <v>0</v>
      </c>
      <c r="E408" s="245">
        <v>0</v>
      </c>
      <c r="F408" s="245">
        <v>0</v>
      </c>
      <c r="G408" s="324">
        <v>0</v>
      </c>
      <c r="H408" s="368">
        <f t="shared" si="6"/>
        <v>0</v>
      </c>
    </row>
    <row r="409" spans="1:8" ht="17.45">
      <c r="A409" s="268" t="s">
        <v>116</v>
      </c>
      <c r="B409" s="245">
        <v>162484.81</v>
      </c>
      <c r="C409" s="245">
        <v>2964.75</v>
      </c>
      <c r="D409" s="405">
        <v>2964.75</v>
      </c>
      <c r="E409" s="245"/>
      <c r="F409" s="245">
        <v>0</v>
      </c>
      <c r="G409" s="324">
        <v>0</v>
      </c>
      <c r="H409" s="368">
        <f t="shared" si="6"/>
        <v>165449.56</v>
      </c>
    </row>
    <row r="410" spans="1:8" ht="17.45">
      <c r="A410" s="271" t="s">
        <v>359</v>
      </c>
      <c r="B410" s="245">
        <v>0</v>
      </c>
      <c r="C410" s="245">
        <v>0</v>
      </c>
      <c r="D410" s="406">
        <v>0</v>
      </c>
      <c r="E410" s="352">
        <v>0</v>
      </c>
      <c r="F410" s="245">
        <v>0</v>
      </c>
      <c r="G410" s="324">
        <v>0</v>
      </c>
      <c r="H410" s="368">
        <f t="shared" si="6"/>
        <v>0</v>
      </c>
    </row>
    <row r="411" spans="1:8" ht="18" thickBot="1">
      <c r="A411" s="271" t="s">
        <v>360</v>
      </c>
      <c r="B411" s="245">
        <v>0</v>
      </c>
      <c r="C411" s="245">
        <v>0</v>
      </c>
      <c r="D411" s="396">
        <v>0</v>
      </c>
      <c r="E411" s="245">
        <v>0</v>
      </c>
      <c r="F411" s="245">
        <v>0</v>
      </c>
      <c r="G411" s="334">
        <v>0</v>
      </c>
      <c r="H411" s="368">
        <f t="shared" si="6"/>
        <v>0</v>
      </c>
    </row>
    <row r="412" spans="1:8" ht="18" thickBot="1">
      <c r="A412" s="271" t="s">
        <v>361</v>
      </c>
      <c r="B412" s="245">
        <v>492868353.30999994</v>
      </c>
      <c r="C412" s="245">
        <v>578433762.24000001</v>
      </c>
      <c r="D412" s="396">
        <v>578433762.24000001</v>
      </c>
      <c r="E412" s="353">
        <v>328113804.03000003</v>
      </c>
      <c r="F412" s="245">
        <v>280677128.62</v>
      </c>
      <c r="G412" s="324">
        <v>852903175</v>
      </c>
      <c r="H412" s="368">
        <f t="shared" si="6"/>
        <v>2532996223.1999998</v>
      </c>
    </row>
    <row r="413" spans="1:8" ht="18" thickBot="1">
      <c r="A413" s="306" t="s">
        <v>769</v>
      </c>
      <c r="B413" s="250">
        <v>493030838.11999995</v>
      </c>
      <c r="C413" s="250">
        <v>578436726.99000001</v>
      </c>
      <c r="D413" s="407">
        <v>578436726.99000001</v>
      </c>
      <c r="E413" s="321">
        <v>328113804.03000003</v>
      </c>
      <c r="F413" s="258">
        <v>280677128.62</v>
      </c>
      <c r="G413" s="341">
        <v>852903175</v>
      </c>
      <c r="H413" s="368">
        <f t="shared" si="6"/>
        <v>2533161672.7599998</v>
      </c>
    </row>
    <row r="414" spans="1:8" ht="18" thickBot="1">
      <c r="A414" s="305"/>
      <c r="B414" s="245">
        <v>0</v>
      </c>
      <c r="C414" s="245">
        <v>0</v>
      </c>
      <c r="D414" s="396"/>
      <c r="E414" s="354">
        <v>0</v>
      </c>
      <c r="F414" s="245">
        <v>0</v>
      </c>
      <c r="G414" s="324"/>
      <c r="H414" s="368">
        <f t="shared" si="6"/>
        <v>0</v>
      </c>
    </row>
    <row r="415" spans="1:8">
      <c r="A415" s="267" t="s">
        <v>770</v>
      </c>
      <c r="B415" s="245">
        <v>0</v>
      </c>
      <c r="C415" s="245">
        <v>0</v>
      </c>
      <c r="D415" s="396"/>
      <c r="E415" s="245">
        <v>0</v>
      </c>
      <c r="F415" s="245">
        <v>0</v>
      </c>
      <c r="G415" s="324"/>
      <c r="H415" s="368">
        <f t="shared" si="6"/>
        <v>0</v>
      </c>
    </row>
    <row r="416" spans="1:8">
      <c r="A416" s="268" t="s">
        <v>363</v>
      </c>
      <c r="B416" s="245">
        <v>0</v>
      </c>
      <c r="C416" s="245">
        <v>0</v>
      </c>
      <c r="D416" s="396">
        <v>0</v>
      </c>
      <c r="E416" s="245"/>
      <c r="F416" s="245">
        <v>0</v>
      </c>
      <c r="G416" s="324">
        <v>0</v>
      </c>
      <c r="H416" s="368">
        <f t="shared" si="6"/>
        <v>0</v>
      </c>
    </row>
    <row r="417" spans="1:8">
      <c r="A417" s="268" t="s">
        <v>364</v>
      </c>
      <c r="B417" s="245">
        <v>0</v>
      </c>
      <c r="C417" s="245">
        <v>0</v>
      </c>
      <c r="D417" s="396">
        <v>0</v>
      </c>
      <c r="E417" s="245"/>
      <c r="F417" s="245">
        <v>0</v>
      </c>
      <c r="G417" s="324">
        <v>0</v>
      </c>
      <c r="H417" s="368">
        <f t="shared" si="6"/>
        <v>0</v>
      </c>
    </row>
    <row r="418" spans="1:8">
      <c r="A418" s="268" t="s">
        <v>365</v>
      </c>
      <c r="B418" s="245">
        <v>0</v>
      </c>
      <c r="C418" s="245">
        <v>0</v>
      </c>
      <c r="D418" s="396">
        <v>0</v>
      </c>
      <c r="E418" s="245"/>
      <c r="F418" s="245">
        <v>0</v>
      </c>
      <c r="G418" s="324">
        <v>0</v>
      </c>
      <c r="H418" s="368">
        <f t="shared" si="6"/>
        <v>0</v>
      </c>
    </row>
    <row r="419" spans="1:8">
      <c r="A419" s="268" t="s">
        <v>366</v>
      </c>
      <c r="B419" s="245">
        <v>0</v>
      </c>
      <c r="C419" s="245">
        <v>0</v>
      </c>
      <c r="D419" s="396">
        <v>0</v>
      </c>
      <c r="E419" s="245"/>
      <c r="F419" s="245">
        <v>0</v>
      </c>
      <c r="G419" s="324">
        <v>0</v>
      </c>
      <c r="H419" s="368">
        <f t="shared" si="6"/>
        <v>0</v>
      </c>
    </row>
    <row r="420" spans="1:8">
      <c r="A420" s="268" t="s">
        <v>158</v>
      </c>
      <c r="B420" s="245">
        <v>11392.84</v>
      </c>
      <c r="C420" s="245">
        <v>0</v>
      </c>
      <c r="D420" s="396">
        <v>0</v>
      </c>
      <c r="E420" s="245">
        <v>0</v>
      </c>
      <c r="F420" s="245">
        <v>0</v>
      </c>
      <c r="G420" s="324">
        <v>0</v>
      </c>
      <c r="H420" s="368">
        <f t="shared" si="6"/>
        <v>11392.84</v>
      </c>
    </row>
    <row r="421" spans="1:8" ht="17.45">
      <c r="A421" s="271" t="s">
        <v>367</v>
      </c>
      <c r="B421" s="245">
        <v>15042171.08</v>
      </c>
      <c r="C421" s="245">
        <v>11544175.529999999</v>
      </c>
      <c r="D421" s="404">
        <v>11544175.529999999</v>
      </c>
      <c r="E421" s="247">
        <v>39954987.150000006</v>
      </c>
      <c r="F421" s="245">
        <v>21570456.899999999</v>
      </c>
      <c r="G421" s="324">
        <v>14895419.939999999</v>
      </c>
      <c r="H421" s="368">
        <f t="shared" si="6"/>
        <v>103007210.59999999</v>
      </c>
    </row>
    <row r="422" spans="1:8">
      <c r="A422" s="271" t="s">
        <v>368</v>
      </c>
      <c r="B422" s="245">
        <v>0</v>
      </c>
      <c r="C422" s="245">
        <v>0</v>
      </c>
      <c r="D422" s="396">
        <v>0</v>
      </c>
      <c r="E422" s="245">
        <v>0</v>
      </c>
      <c r="F422" s="245">
        <v>0</v>
      </c>
      <c r="G422" s="324">
        <v>0</v>
      </c>
      <c r="H422" s="368">
        <f t="shared" si="6"/>
        <v>0</v>
      </c>
    </row>
    <row r="423" spans="1:8" ht="17.45">
      <c r="A423" s="271" t="s">
        <v>369</v>
      </c>
      <c r="B423" s="245">
        <v>0</v>
      </c>
      <c r="C423" s="245">
        <v>0</v>
      </c>
      <c r="D423" s="396">
        <v>0</v>
      </c>
      <c r="E423" s="245">
        <v>0</v>
      </c>
      <c r="F423" s="245">
        <v>0</v>
      </c>
      <c r="G423" s="334">
        <v>0</v>
      </c>
      <c r="H423" s="368">
        <f t="shared" si="6"/>
        <v>0</v>
      </c>
    </row>
    <row r="424" spans="1:8">
      <c r="A424" s="271" t="s">
        <v>370</v>
      </c>
      <c r="B424" s="245">
        <v>112900</v>
      </c>
      <c r="C424" s="245">
        <v>41600</v>
      </c>
      <c r="D424" s="396">
        <v>41600</v>
      </c>
      <c r="E424" s="245">
        <v>22600</v>
      </c>
      <c r="F424" s="245">
        <v>42200</v>
      </c>
      <c r="G424" s="324">
        <v>137600</v>
      </c>
      <c r="H424" s="368">
        <f t="shared" si="6"/>
        <v>356900</v>
      </c>
    </row>
    <row r="425" spans="1:8" ht="18" thickBot="1">
      <c r="A425" s="272" t="s">
        <v>771</v>
      </c>
      <c r="B425" s="250">
        <v>15166463.92</v>
      </c>
      <c r="C425" s="250">
        <v>11585775.529999999</v>
      </c>
      <c r="D425" s="407">
        <v>11585775.529999999</v>
      </c>
      <c r="E425" s="362">
        <v>39977587.150000006</v>
      </c>
      <c r="F425" s="258">
        <v>21612656.899999999</v>
      </c>
      <c r="G425" s="340">
        <v>15033019.939999999</v>
      </c>
      <c r="H425" s="369">
        <f t="shared" si="6"/>
        <v>103375503.44</v>
      </c>
    </row>
    <row r="426" spans="1:8">
      <c r="A426" s="275"/>
      <c r="B426" s="245">
        <v>0</v>
      </c>
      <c r="C426" s="245">
        <v>0</v>
      </c>
      <c r="D426" s="396"/>
      <c r="E426" s="245">
        <v>0</v>
      </c>
      <c r="F426" s="245">
        <v>0</v>
      </c>
      <c r="G426" s="324"/>
      <c r="H426" s="368">
        <f t="shared" si="6"/>
        <v>0</v>
      </c>
    </row>
    <row r="427" spans="1:8">
      <c r="A427" s="270" t="s">
        <v>772</v>
      </c>
      <c r="B427" s="245">
        <v>0</v>
      </c>
      <c r="C427" s="245">
        <v>0</v>
      </c>
      <c r="D427" s="396"/>
      <c r="E427" s="245">
        <v>0</v>
      </c>
      <c r="F427" s="245">
        <v>0</v>
      </c>
      <c r="G427" s="324"/>
      <c r="H427" s="368">
        <f t="shared" si="6"/>
        <v>0</v>
      </c>
    </row>
    <row r="428" spans="1:8">
      <c r="A428" s="287" t="s">
        <v>373</v>
      </c>
      <c r="B428" s="245">
        <v>0</v>
      </c>
      <c r="C428" s="245">
        <v>0</v>
      </c>
      <c r="D428" s="396">
        <v>0</v>
      </c>
      <c r="E428" s="245">
        <v>0</v>
      </c>
      <c r="F428" s="245">
        <v>0</v>
      </c>
      <c r="G428" s="324">
        <v>0</v>
      </c>
      <c r="H428" s="368">
        <f t="shared" si="6"/>
        <v>0</v>
      </c>
    </row>
    <row r="429" spans="1:8">
      <c r="A429" s="287" t="s">
        <v>773</v>
      </c>
      <c r="B429" s="245">
        <v>0</v>
      </c>
      <c r="C429" s="245">
        <v>0</v>
      </c>
      <c r="D429" s="396">
        <v>0</v>
      </c>
      <c r="E429" s="245">
        <v>0</v>
      </c>
      <c r="F429" s="245">
        <v>0</v>
      </c>
      <c r="G429" s="324">
        <v>0</v>
      </c>
      <c r="H429" s="368">
        <f t="shared" si="6"/>
        <v>0</v>
      </c>
    </row>
    <row r="430" spans="1:8">
      <c r="A430" s="287" t="s">
        <v>774</v>
      </c>
      <c r="B430" s="245">
        <v>0</v>
      </c>
      <c r="C430" s="245">
        <v>0</v>
      </c>
      <c r="D430" s="396">
        <v>0</v>
      </c>
      <c r="E430" s="245">
        <v>0</v>
      </c>
      <c r="F430" s="245">
        <v>0</v>
      </c>
      <c r="G430" s="324">
        <v>0</v>
      </c>
      <c r="H430" s="368">
        <f t="shared" si="6"/>
        <v>0</v>
      </c>
    </row>
    <row r="431" spans="1:8" ht="17.45">
      <c r="A431" s="287" t="s">
        <v>775</v>
      </c>
      <c r="B431" s="245">
        <v>0</v>
      </c>
      <c r="C431" s="245">
        <v>0</v>
      </c>
      <c r="D431" s="404">
        <v>0</v>
      </c>
      <c r="E431" s="247">
        <v>0</v>
      </c>
      <c r="F431" s="245">
        <v>0</v>
      </c>
      <c r="G431" s="324">
        <v>0</v>
      </c>
      <c r="H431" s="368">
        <f t="shared" si="6"/>
        <v>0</v>
      </c>
    </row>
    <row r="432" spans="1:8">
      <c r="A432" s="287" t="s">
        <v>377</v>
      </c>
      <c r="B432" s="245">
        <v>0</v>
      </c>
      <c r="C432" s="245">
        <v>0</v>
      </c>
      <c r="D432" s="396">
        <v>0</v>
      </c>
      <c r="E432" s="245">
        <v>0</v>
      </c>
      <c r="F432" s="245">
        <v>0</v>
      </c>
      <c r="G432" s="324">
        <v>0</v>
      </c>
      <c r="H432" s="368">
        <f t="shared" si="6"/>
        <v>0</v>
      </c>
    </row>
    <row r="433" spans="1:8" ht="17.45">
      <c r="A433" s="287" t="s">
        <v>776</v>
      </c>
      <c r="B433" s="245">
        <v>0</v>
      </c>
      <c r="C433" s="245">
        <v>0</v>
      </c>
      <c r="D433" s="396">
        <v>0</v>
      </c>
      <c r="E433" s="247">
        <v>0</v>
      </c>
      <c r="F433" s="245">
        <v>0</v>
      </c>
      <c r="G433" s="334">
        <v>0</v>
      </c>
      <c r="H433" s="368">
        <f t="shared" si="6"/>
        <v>0</v>
      </c>
    </row>
    <row r="434" spans="1:8">
      <c r="A434" s="287" t="s">
        <v>379</v>
      </c>
      <c r="B434" s="245">
        <v>1500</v>
      </c>
      <c r="C434" s="245">
        <v>0</v>
      </c>
      <c r="D434" s="396">
        <v>0</v>
      </c>
      <c r="E434" s="247">
        <v>1875</v>
      </c>
      <c r="F434" s="245">
        <v>2000</v>
      </c>
      <c r="G434" s="324">
        <v>0</v>
      </c>
      <c r="H434" s="368">
        <f t="shared" si="6"/>
        <v>5375</v>
      </c>
    </row>
    <row r="435" spans="1:8" ht="30.95" thickBot="1">
      <c r="A435" s="291" t="s">
        <v>777</v>
      </c>
      <c r="B435" s="250">
        <v>1500</v>
      </c>
      <c r="C435" s="250">
        <v>0</v>
      </c>
      <c r="D435" s="407">
        <v>0</v>
      </c>
      <c r="E435" s="355">
        <v>1875</v>
      </c>
      <c r="F435" s="258">
        <v>2000</v>
      </c>
      <c r="G435" s="341">
        <v>0</v>
      </c>
      <c r="H435" s="369">
        <f t="shared" si="6"/>
        <v>5375</v>
      </c>
    </row>
    <row r="436" spans="1:8" ht="17.45">
      <c r="A436" s="268"/>
      <c r="B436" s="245">
        <v>0</v>
      </c>
      <c r="C436" s="245">
        <v>0</v>
      </c>
      <c r="D436" s="404"/>
      <c r="E436" s="245">
        <v>0</v>
      </c>
      <c r="F436" s="245">
        <v>0</v>
      </c>
      <c r="G436" s="324"/>
      <c r="H436" s="368">
        <f t="shared" si="6"/>
        <v>0</v>
      </c>
    </row>
    <row r="437" spans="1:8">
      <c r="A437" s="267" t="s">
        <v>778</v>
      </c>
      <c r="B437" s="245">
        <v>0</v>
      </c>
      <c r="C437" s="245">
        <v>0</v>
      </c>
      <c r="D437" s="396"/>
      <c r="E437" s="245">
        <v>0</v>
      </c>
      <c r="F437" s="245">
        <v>0</v>
      </c>
      <c r="G437" s="324"/>
      <c r="H437" s="368">
        <f t="shared" si="6"/>
        <v>0</v>
      </c>
    </row>
    <row r="438" spans="1:8" ht="17.45">
      <c r="A438" s="287" t="s">
        <v>779</v>
      </c>
      <c r="B438" s="245">
        <v>0</v>
      </c>
      <c r="C438" s="245">
        <v>0</v>
      </c>
      <c r="D438" s="405">
        <v>0</v>
      </c>
      <c r="E438" s="245">
        <v>0</v>
      </c>
      <c r="F438" s="245">
        <v>0</v>
      </c>
      <c r="G438" s="334">
        <v>0</v>
      </c>
      <c r="H438" s="368">
        <f t="shared" si="6"/>
        <v>0</v>
      </c>
    </row>
    <row r="439" spans="1:8">
      <c r="A439" s="268" t="s">
        <v>780</v>
      </c>
      <c r="B439" s="245">
        <v>0</v>
      </c>
      <c r="C439" s="245">
        <v>0</v>
      </c>
      <c r="D439" s="396">
        <v>0</v>
      </c>
      <c r="E439" s="245">
        <v>0</v>
      </c>
      <c r="F439" s="245">
        <v>0</v>
      </c>
      <c r="G439" s="324">
        <v>0</v>
      </c>
      <c r="H439" s="368">
        <f t="shared" si="6"/>
        <v>0</v>
      </c>
    </row>
    <row r="440" spans="1:8" ht="17.45">
      <c r="A440" s="272" t="s">
        <v>781</v>
      </c>
      <c r="B440" s="250">
        <v>0</v>
      </c>
      <c r="C440" s="250">
        <v>0</v>
      </c>
      <c r="D440" s="405">
        <v>0</v>
      </c>
      <c r="E440" s="355">
        <v>0</v>
      </c>
      <c r="F440" s="258">
        <v>0</v>
      </c>
      <c r="G440" s="334">
        <v>0</v>
      </c>
      <c r="H440" s="368">
        <f t="shared" si="6"/>
        <v>0</v>
      </c>
    </row>
    <row r="441" spans="1:8" ht="15.95" thickBot="1">
      <c r="A441" s="267"/>
      <c r="B441" s="245">
        <v>0</v>
      </c>
      <c r="C441" s="245">
        <v>0</v>
      </c>
      <c r="D441" s="396"/>
      <c r="E441" s="245">
        <v>0</v>
      </c>
      <c r="F441" s="245">
        <v>0</v>
      </c>
      <c r="G441" s="324"/>
      <c r="H441" s="368">
        <f t="shared" si="6"/>
        <v>0</v>
      </c>
    </row>
    <row r="442" spans="1:8" ht="18" thickBot="1">
      <c r="A442" s="307" t="s">
        <v>782</v>
      </c>
      <c r="B442" s="251">
        <v>0</v>
      </c>
      <c r="C442" s="251">
        <v>41814167.780000001</v>
      </c>
      <c r="D442" s="404">
        <v>41814167.780000001</v>
      </c>
      <c r="E442" s="321">
        <v>0</v>
      </c>
      <c r="F442" s="259">
        <v>1185935</v>
      </c>
      <c r="G442" s="343">
        <v>2406001.13</v>
      </c>
      <c r="H442" s="369">
        <f t="shared" si="6"/>
        <v>45406103.910000004</v>
      </c>
    </row>
    <row r="443" spans="1:8" ht="15.95" thickBot="1">
      <c r="A443" s="267"/>
      <c r="B443" s="245">
        <v>0</v>
      </c>
      <c r="C443" s="245">
        <v>0</v>
      </c>
      <c r="D443" s="396"/>
      <c r="E443" s="245">
        <v>0</v>
      </c>
      <c r="F443" s="245">
        <v>0</v>
      </c>
      <c r="G443" s="324"/>
      <c r="H443" s="368">
        <f t="shared" si="6"/>
        <v>0</v>
      </c>
    </row>
    <row r="444" spans="1:8" ht="18" thickBot="1">
      <c r="A444" s="308" t="s">
        <v>783</v>
      </c>
      <c r="B444" s="251">
        <v>2397851156.0899997</v>
      </c>
      <c r="C444" s="251">
        <f>C435+C425+C413+C404+C387+C380+C375+C370+C364+C349+C343+C332+C322+C314+C309+C305+C298+C293+C288+C279+C270+C261+C252+C243+C238+C228+C221+C217+C208+C203+C198+C193+C177+C165+C143+C127+C115+C104+C98+C94+C88+C83+C78+C72+C67+C62+C58+C53+C49+C45</f>
        <v>9296315384.5900002</v>
      </c>
      <c r="D444" s="397">
        <f>D440+D435+D425+D413+D404+D387+D380+D375+D370+D364+D349+D343+D332+D322+D314+D309+D305+D298+D293+D288+D279+D270+D261+D252+D243+D238+D228+D221+D217+D208+D203+D198+D193+D177+D165+D143+D127+D115+D104+D98+D94+D88+D83+D78+D72+D67+D62+D58+D53+D49+D45</f>
        <v>9248148085.7600002</v>
      </c>
      <c r="E444" s="355">
        <v>3044540659.3400002</v>
      </c>
      <c r="F444" s="259">
        <v>2537384821.4300003</v>
      </c>
      <c r="G444" s="345">
        <v>6456941375.1517735</v>
      </c>
      <c r="H444" s="369">
        <f t="shared" si="6"/>
        <v>23733033396.601776</v>
      </c>
    </row>
    <row r="445" spans="1:8" ht="15.95" thickBot="1">
      <c r="A445" s="275"/>
      <c r="B445" s="245">
        <v>0</v>
      </c>
      <c r="C445" s="245">
        <v>0</v>
      </c>
      <c r="D445" s="397"/>
      <c r="E445" s="245">
        <v>0</v>
      </c>
      <c r="F445" s="245">
        <v>0</v>
      </c>
      <c r="G445" s="331"/>
      <c r="H445" s="368">
        <f t="shared" si="6"/>
        <v>0</v>
      </c>
    </row>
    <row r="446" spans="1:8" ht="18" thickBot="1">
      <c r="A446" s="308" t="s">
        <v>384</v>
      </c>
      <c r="B446" s="251">
        <v>61737666333.869995</v>
      </c>
      <c r="C446" s="251">
        <f>C39+C444+C442</f>
        <v>72542215851.410004</v>
      </c>
      <c r="D446" s="397">
        <v>72461249328.179993</v>
      </c>
      <c r="E446" s="355">
        <v>49796728155.740005</v>
      </c>
      <c r="F446" s="259">
        <v>60587826406.769997</v>
      </c>
      <c r="G446" s="346">
        <v>71429726896.331772</v>
      </c>
      <c r="H446" s="370">
        <f t="shared" si="6"/>
        <v>316094163644.12177</v>
      </c>
    </row>
    <row r="447" spans="1:8" ht="15.95" thickBot="1">
      <c r="A447" s="275"/>
      <c r="B447" s="245">
        <v>0</v>
      </c>
      <c r="C447" s="245">
        <v>0</v>
      </c>
      <c r="D447" s="397"/>
      <c r="E447" s="245">
        <v>0</v>
      </c>
      <c r="F447" s="245">
        <v>0</v>
      </c>
      <c r="G447" s="331"/>
      <c r="H447" s="368">
        <f t="shared" si="6"/>
        <v>0</v>
      </c>
    </row>
    <row r="448" spans="1:8" ht="15.95" thickBot="1">
      <c r="A448" s="275" t="s">
        <v>44</v>
      </c>
      <c r="B448" s="245">
        <v>0</v>
      </c>
      <c r="C448" s="245">
        <v>0</v>
      </c>
      <c r="D448" s="396"/>
      <c r="E448" s="252">
        <v>0</v>
      </c>
      <c r="F448" s="245">
        <v>0</v>
      </c>
      <c r="G448" s="324"/>
      <c r="H448" s="368">
        <f t="shared" si="6"/>
        <v>0</v>
      </c>
    </row>
    <row r="449" spans="1:8">
      <c r="A449" s="309" t="s">
        <v>385</v>
      </c>
      <c r="B449" s="245">
        <v>0</v>
      </c>
      <c r="C449" s="245">
        <v>0</v>
      </c>
      <c r="D449" s="396"/>
      <c r="E449" s="245">
        <v>0</v>
      </c>
      <c r="F449" s="245">
        <v>0</v>
      </c>
      <c r="G449" s="324"/>
      <c r="H449" s="368">
        <f t="shared" si="6"/>
        <v>0</v>
      </c>
    </row>
    <row r="450" spans="1:8">
      <c r="A450" s="268" t="s">
        <v>784</v>
      </c>
      <c r="B450" s="245">
        <v>0</v>
      </c>
      <c r="C450" s="245">
        <v>0</v>
      </c>
      <c r="D450" s="396">
        <v>0</v>
      </c>
      <c r="E450" s="245">
        <v>0</v>
      </c>
      <c r="F450" s="245">
        <v>0</v>
      </c>
      <c r="G450" s="324">
        <v>0</v>
      </c>
      <c r="H450" s="368">
        <f t="shared" si="6"/>
        <v>0</v>
      </c>
    </row>
    <row r="451" spans="1:8" ht="15.95" thickBot="1">
      <c r="A451" s="276" t="s">
        <v>785</v>
      </c>
      <c r="B451" s="247">
        <v>0</v>
      </c>
      <c r="C451" s="247">
        <v>0</v>
      </c>
      <c r="D451" s="407">
        <v>0</v>
      </c>
      <c r="E451" s="245">
        <v>0</v>
      </c>
      <c r="F451" s="247">
        <v>0</v>
      </c>
      <c r="G451" s="341">
        <v>0</v>
      </c>
      <c r="H451" s="368">
        <f t="shared" si="6"/>
        <v>0</v>
      </c>
    </row>
    <row r="452" spans="1:8">
      <c r="A452" s="275"/>
      <c r="B452" s="245">
        <v>0</v>
      </c>
      <c r="C452" s="245">
        <v>0</v>
      </c>
      <c r="D452" s="396"/>
      <c r="E452" s="245">
        <v>0</v>
      </c>
      <c r="F452" s="245">
        <v>0</v>
      </c>
      <c r="G452" s="324"/>
      <c r="H452" s="368">
        <f t="shared" si="6"/>
        <v>0</v>
      </c>
    </row>
    <row r="453" spans="1:8">
      <c r="A453" s="275" t="s">
        <v>388</v>
      </c>
      <c r="B453" s="245">
        <v>0</v>
      </c>
      <c r="C453" s="245">
        <v>0</v>
      </c>
      <c r="D453" s="396"/>
      <c r="E453" s="245">
        <v>0</v>
      </c>
      <c r="F453" s="245">
        <v>0</v>
      </c>
      <c r="G453" s="324"/>
      <c r="H453" s="368">
        <f t="shared" si="6"/>
        <v>0</v>
      </c>
    </row>
    <row r="454" spans="1:8">
      <c r="A454" s="268" t="s">
        <v>389</v>
      </c>
      <c r="B454" s="245">
        <v>219567354.38</v>
      </c>
      <c r="C454" s="245">
        <v>91291307.450000018</v>
      </c>
      <c r="D454" s="396">
        <v>91291307.450000018</v>
      </c>
      <c r="E454" s="247">
        <v>179293555.37</v>
      </c>
      <c r="F454" s="245">
        <v>134550311.33000001</v>
      </c>
      <c r="G454" s="324">
        <v>52707775.18</v>
      </c>
      <c r="H454" s="368">
        <f t="shared" si="6"/>
        <v>677410303.71000004</v>
      </c>
    </row>
    <row r="455" spans="1:8" ht="15.95" thickBot="1">
      <c r="A455" s="276" t="s">
        <v>786</v>
      </c>
      <c r="B455" s="247">
        <v>219567354.38</v>
      </c>
      <c r="C455" s="247">
        <v>91291307.450000018</v>
      </c>
      <c r="D455" s="396">
        <v>91291307.450000018</v>
      </c>
      <c r="E455" s="247">
        <v>179293555.37</v>
      </c>
      <c r="F455" s="247">
        <v>134550311.33000001</v>
      </c>
      <c r="G455" s="341">
        <v>52707775.18</v>
      </c>
      <c r="H455" s="369">
        <f t="shared" si="6"/>
        <v>677410303.71000004</v>
      </c>
    </row>
    <row r="456" spans="1:8">
      <c r="A456" s="275"/>
      <c r="B456" s="245">
        <v>0</v>
      </c>
      <c r="C456" s="245">
        <v>0</v>
      </c>
      <c r="D456" s="396"/>
      <c r="E456" s="245">
        <v>0</v>
      </c>
      <c r="F456" s="245">
        <v>0</v>
      </c>
      <c r="G456" s="324"/>
      <c r="H456" s="368">
        <f t="shared" si="6"/>
        <v>0</v>
      </c>
    </row>
    <row r="457" spans="1:8">
      <c r="A457" s="267" t="s">
        <v>391</v>
      </c>
      <c r="B457" s="245">
        <v>0</v>
      </c>
      <c r="C457" s="245">
        <v>0</v>
      </c>
      <c r="D457" s="396"/>
      <c r="E457" s="245">
        <v>0</v>
      </c>
      <c r="F457" s="245">
        <v>0</v>
      </c>
      <c r="G457" s="324"/>
      <c r="H457" s="368">
        <f t="shared" ref="H457:H520" si="7">B457+C457+E457+F457+G457</f>
        <v>0</v>
      </c>
    </row>
    <row r="458" spans="1:8">
      <c r="A458" s="268" t="s">
        <v>787</v>
      </c>
      <c r="B458" s="245">
        <v>0</v>
      </c>
      <c r="C458" s="245">
        <v>0</v>
      </c>
      <c r="D458" s="396">
        <v>0</v>
      </c>
      <c r="E458" s="245">
        <v>0</v>
      </c>
      <c r="F458" s="245">
        <v>0</v>
      </c>
      <c r="G458" s="324">
        <v>0</v>
      </c>
      <c r="H458" s="368">
        <f t="shared" si="7"/>
        <v>0</v>
      </c>
    </row>
    <row r="459" spans="1:8">
      <c r="A459" s="268" t="s">
        <v>393</v>
      </c>
      <c r="B459" s="245">
        <v>73841037.200000003</v>
      </c>
      <c r="C459" s="245">
        <v>371216822.87</v>
      </c>
      <c r="D459" s="407">
        <v>380308689.44</v>
      </c>
      <c r="E459" s="245">
        <v>104215007.41999999</v>
      </c>
      <c r="F459" s="245">
        <v>34285411.100000001</v>
      </c>
      <c r="G459" s="324">
        <v>1092675766.3800001</v>
      </c>
      <c r="H459" s="368">
        <f t="shared" si="7"/>
        <v>1676234044.9700003</v>
      </c>
    </row>
    <row r="460" spans="1:8">
      <c r="A460" s="268" t="s">
        <v>394</v>
      </c>
      <c r="B460" s="245">
        <v>0</v>
      </c>
      <c r="C460" s="245">
        <v>0</v>
      </c>
      <c r="D460" s="396">
        <v>0</v>
      </c>
      <c r="E460" s="245">
        <v>0</v>
      </c>
      <c r="F460" s="245">
        <v>0</v>
      </c>
      <c r="G460" s="324">
        <v>0</v>
      </c>
      <c r="H460" s="368">
        <f t="shared" si="7"/>
        <v>0</v>
      </c>
    </row>
    <row r="461" spans="1:8" ht="15.95" thickBot="1">
      <c r="A461" s="276" t="s">
        <v>788</v>
      </c>
      <c r="B461" s="247">
        <v>73841037.200000003</v>
      </c>
      <c r="C461" s="247">
        <v>371216822.87</v>
      </c>
      <c r="D461" s="396">
        <v>380308689.44</v>
      </c>
      <c r="E461" s="245">
        <v>104215007.41999999</v>
      </c>
      <c r="F461" s="247">
        <v>34285411.100000001</v>
      </c>
      <c r="G461" s="341">
        <v>1092675766.3800001</v>
      </c>
      <c r="H461" s="369">
        <f t="shared" si="7"/>
        <v>1676234044.9700003</v>
      </c>
    </row>
    <row r="462" spans="1:8">
      <c r="A462" s="275"/>
      <c r="B462" s="245">
        <v>0</v>
      </c>
      <c r="C462" s="245">
        <v>0</v>
      </c>
      <c r="D462" s="396"/>
      <c r="E462" s="245">
        <v>0</v>
      </c>
      <c r="F462" s="245">
        <v>0</v>
      </c>
      <c r="G462" s="324"/>
      <c r="H462" s="368">
        <f t="shared" si="7"/>
        <v>0</v>
      </c>
    </row>
    <row r="463" spans="1:8" ht="15.95" thickBot="1">
      <c r="A463" s="276" t="s">
        <v>396</v>
      </c>
      <c r="B463" s="247">
        <v>293408391.57999998</v>
      </c>
      <c r="C463" s="247">
        <v>462508130.32000005</v>
      </c>
      <c r="D463" s="397">
        <v>471599996.88999999</v>
      </c>
      <c r="E463" s="247">
        <v>283508562.79000002</v>
      </c>
      <c r="F463" s="247">
        <v>168835722.43000001</v>
      </c>
      <c r="G463" s="344">
        <v>1145383541.5600002</v>
      </c>
      <c r="H463" s="369">
        <f t="shared" si="7"/>
        <v>2353644348.6800003</v>
      </c>
    </row>
    <row r="464" spans="1:8">
      <c r="A464" s="275"/>
      <c r="B464" s="245">
        <v>0</v>
      </c>
      <c r="C464" s="245">
        <v>0</v>
      </c>
      <c r="D464" s="396"/>
      <c r="E464" s="245">
        <v>0</v>
      </c>
      <c r="F464" s="245">
        <v>0</v>
      </c>
      <c r="G464" s="324"/>
      <c r="H464" s="368">
        <f t="shared" si="7"/>
        <v>0</v>
      </c>
    </row>
    <row r="465" spans="1:8">
      <c r="A465" s="275" t="s">
        <v>51</v>
      </c>
      <c r="B465" s="245">
        <v>0</v>
      </c>
      <c r="C465" s="245">
        <v>0</v>
      </c>
      <c r="D465" s="396"/>
      <c r="E465" s="245">
        <v>0</v>
      </c>
      <c r="F465" s="245">
        <v>0</v>
      </c>
      <c r="G465" s="324"/>
      <c r="H465" s="368">
        <f t="shared" si="7"/>
        <v>0</v>
      </c>
    </row>
    <row r="466" spans="1:8" ht="15.95" thickBot="1">
      <c r="A466" s="292" t="s">
        <v>491</v>
      </c>
      <c r="B466" s="245">
        <v>0</v>
      </c>
      <c r="C466" s="245">
        <v>0</v>
      </c>
      <c r="D466" s="396"/>
      <c r="E466" s="245">
        <v>0</v>
      </c>
      <c r="F466" s="245">
        <v>0</v>
      </c>
      <c r="G466" s="324"/>
      <c r="H466" s="368">
        <f t="shared" si="7"/>
        <v>0</v>
      </c>
    </row>
    <row r="467" spans="1:8" ht="15.95" thickBot="1">
      <c r="A467" s="271" t="s">
        <v>397</v>
      </c>
      <c r="B467" s="245">
        <v>0</v>
      </c>
      <c r="C467" s="245">
        <v>0</v>
      </c>
      <c r="D467" s="396">
        <v>0</v>
      </c>
      <c r="E467" s="252">
        <v>0</v>
      </c>
      <c r="F467" s="245">
        <v>0</v>
      </c>
      <c r="G467" s="324">
        <v>0</v>
      </c>
      <c r="H467" s="368">
        <f t="shared" si="7"/>
        <v>0</v>
      </c>
    </row>
    <row r="468" spans="1:8">
      <c r="A468" s="277" t="s">
        <v>398</v>
      </c>
      <c r="B468" s="245">
        <v>0</v>
      </c>
      <c r="C468" s="245">
        <v>0</v>
      </c>
      <c r="D468" s="396">
        <v>0</v>
      </c>
      <c r="E468" s="245">
        <v>0</v>
      </c>
      <c r="F468" s="245">
        <v>0</v>
      </c>
      <c r="G468" s="324">
        <v>0</v>
      </c>
      <c r="H468" s="368">
        <f t="shared" si="7"/>
        <v>0</v>
      </c>
    </row>
    <row r="469" spans="1:8">
      <c r="A469" s="268" t="s">
        <v>56</v>
      </c>
      <c r="B469" s="245">
        <v>0</v>
      </c>
      <c r="C469" s="245">
        <v>0</v>
      </c>
      <c r="D469" s="396">
        <v>0</v>
      </c>
      <c r="E469" s="245">
        <v>0</v>
      </c>
      <c r="F469" s="245">
        <v>0</v>
      </c>
      <c r="G469" s="324">
        <v>0</v>
      </c>
      <c r="H469" s="368">
        <f t="shared" si="7"/>
        <v>0</v>
      </c>
    </row>
    <row r="470" spans="1:8" ht="15.95" thickBot="1">
      <c r="A470" s="272" t="s">
        <v>400</v>
      </c>
      <c r="B470" s="247">
        <v>0</v>
      </c>
      <c r="C470" s="247">
        <v>0</v>
      </c>
      <c r="D470" s="397">
        <v>0</v>
      </c>
      <c r="E470" s="245">
        <v>0</v>
      </c>
      <c r="F470" s="247">
        <v>0</v>
      </c>
      <c r="G470" s="344">
        <v>0</v>
      </c>
      <c r="H470" s="368">
        <f t="shared" si="7"/>
        <v>0</v>
      </c>
    </row>
    <row r="471" spans="1:8">
      <c r="A471" s="266"/>
      <c r="B471" s="245">
        <v>0</v>
      </c>
      <c r="C471" s="245">
        <v>0</v>
      </c>
      <c r="D471" s="396"/>
      <c r="E471" s="245">
        <v>0</v>
      </c>
      <c r="F471" s="245">
        <v>0</v>
      </c>
      <c r="G471" s="324"/>
      <c r="H471" s="368">
        <f t="shared" si="7"/>
        <v>0</v>
      </c>
    </row>
    <row r="472" spans="1:8">
      <c r="A472" s="267" t="s">
        <v>58</v>
      </c>
      <c r="B472" s="245">
        <v>0</v>
      </c>
      <c r="C472" s="245">
        <v>0</v>
      </c>
      <c r="D472" s="407"/>
      <c r="E472" s="245">
        <v>0</v>
      </c>
      <c r="F472" s="245">
        <v>0</v>
      </c>
      <c r="G472" s="324"/>
      <c r="H472" s="368">
        <f t="shared" si="7"/>
        <v>0</v>
      </c>
    </row>
    <row r="473" spans="1:8">
      <c r="A473" s="268" t="s">
        <v>401</v>
      </c>
      <c r="B473" s="245">
        <v>0</v>
      </c>
      <c r="C473" s="245">
        <v>0</v>
      </c>
      <c r="D473" s="396">
        <v>0</v>
      </c>
      <c r="E473" s="245">
        <v>0</v>
      </c>
      <c r="F473" s="245">
        <v>0</v>
      </c>
      <c r="G473" s="324">
        <v>984035094.79999995</v>
      </c>
      <c r="H473" s="368">
        <f t="shared" si="7"/>
        <v>984035094.79999995</v>
      </c>
    </row>
    <row r="474" spans="1:8">
      <c r="A474" s="271" t="s">
        <v>402</v>
      </c>
      <c r="B474" s="245">
        <v>0</v>
      </c>
      <c r="C474" s="245">
        <v>0</v>
      </c>
      <c r="D474" s="396">
        <v>0</v>
      </c>
      <c r="E474" s="245">
        <v>0</v>
      </c>
      <c r="F474" s="245">
        <v>0</v>
      </c>
      <c r="G474" s="324">
        <v>0</v>
      </c>
      <c r="H474" s="368">
        <f t="shared" si="7"/>
        <v>0</v>
      </c>
    </row>
    <row r="475" spans="1:8">
      <c r="A475" s="268" t="s">
        <v>403</v>
      </c>
      <c r="B475" s="245">
        <v>105742890</v>
      </c>
      <c r="C475" s="245">
        <v>115711163.59999999</v>
      </c>
      <c r="D475" s="396">
        <v>115711163.59999999</v>
      </c>
      <c r="E475" s="247">
        <v>277532000</v>
      </c>
      <c r="F475" s="245">
        <v>1286870329</v>
      </c>
      <c r="G475" s="324">
        <v>564396602.26999998</v>
      </c>
      <c r="H475" s="368">
        <f t="shared" si="7"/>
        <v>2350252984.8699999</v>
      </c>
    </row>
    <row r="476" spans="1:8">
      <c r="A476" s="276" t="s">
        <v>404</v>
      </c>
      <c r="B476" s="247">
        <v>105742890</v>
      </c>
      <c r="C476" s="247">
        <v>115711163.59999999</v>
      </c>
      <c r="D476" s="396">
        <v>115711163.59999999</v>
      </c>
      <c r="E476" s="247">
        <v>277532000</v>
      </c>
      <c r="F476" s="247">
        <v>1286870329</v>
      </c>
      <c r="G476" s="324">
        <v>1548431697.0699999</v>
      </c>
      <c r="H476" s="368">
        <f t="shared" si="7"/>
        <v>3334288079.6700001</v>
      </c>
    </row>
    <row r="477" spans="1:8" ht="15.95" thickBot="1">
      <c r="A477" s="275"/>
      <c r="B477" s="245">
        <v>0</v>
      </c>
      <c r="C477" s="245">
        <v>0</v>
      </c>
      <c r="D477" s="396"/>
      <c r="E477" s="245">
        <v>0</v>
      </c>
      <c r="F477" s="245">
        <v>0</v>
      </c>
      <c r="G477" s="324"/>
      <c r="H477" s="368">
        <f t="shared" si="7"/>
        <v>0</v>
      </c>
    </row>
    <row r="478" spans="1:8" ht="15.95" thickBot="1">
      <c r="A478" s="308" t="s">
        <v>62</v>
      </c>
      <c r="B478" s="252">
        <v>105742890</v>
      </c>
      <c r="C478" s="252">
        <v>115711163.59999999</v>
      </c>
      <c r="D478" s="396">
        <v>115711163.59999999</v>
      </c>
      <c r="E478" s="247">
        <v>277532000</v>
      </c>
      <c r="F478" s="252">
        <v>1286870329</v>
      </c>
      <c r="G478" s="341">
        <v>1548431697.0699999</v>
      </c>
      <c r="H478" s="369">
        <f t="shared" si="7"/>
        <v>3334288079.6700001</v>
      </c>
    </row>
    <row r="479" spans="1:8">
      <c r="A479" s="275"/>
      <c r="B479" s="245">
        <v>0</v>
      </c>
      <c r="C479" s="245">
        <v>0</v>
      </c>
      <c r="D479" s="396"/>
      <c r="E479" s="245">
        <v>0</v>
      </c>
      <c r="F479" s="245">
        <v>0</v>
      </c>
      <c r="G479" s="324"/>
      <c r="H479" s="368">
        <f t="shared" si="7"/>
        <v>0</v>
      </c>
    </row>
    <row r="480" spans="1:8" ht="15.95" thickBot="1">
      <c r="A480" s="310" t="s">
        <v>405</v>
      </c>
      <c r="B480" s="245">
        <v>0</v>
      </c>
      <c r="C480" s="245">
        <v>0</v>
      </c>
      <c r="D480" s="396"/>
      <c r="E480" s="245">
        <v>0</v>
      </c>
      <c r="F480" s="245">
        <v>0</v>
      </c>
      <c r="G480" s="324"/>
      <c r="H480" s="368">
        <f t="shared" si="7"/>
        <v>0</v>
      </c>
    </row>
    <row r="481" spans="1:8" ht="15.95" thickBot="1">
      <c r="A481" s="275"/>
      <c r="B481" s="245">
        <v>0</v>
      </c>
      <c r="C481" s="245">
        <v>0</v>
      </c>
      <c r="D481" s="396"/>
      <c r="E481" s="252">
        <v>0</v>
      </c>
      <c r="F481" s="245">
        <v>0</v>
      </c>
      <c r="G481" s="324"/>
      <c r="H481" s="368">
        <f t="shared" si="7"/>
        <v>0</v>
      </c>
    </row>
    <row r="482" spans="1:8" ht="15.95" thickBot="1">
      <c r="A482" s="275" t="s">
        <v>406</v>
      </c>
      <c r="B482" s="245">
        <v>0</v>
      </c>
      <c r="C482" s="245">
        <v>0</v>
      </c>
      <c r="D482" s="396"/>
      <c r="E482" s="245">
        <v>0</v>
      </c>
      <c r="F482" s="245">
        <v>0</v>
      </c>
      <c r="G482" s="324"/>
      <c r="H482" s="368">
        <f t="shared" si="7"/>
        <v>0</v>
      </c>
    </row>
    <row r="483" spans="1:8" ht="15.95" thickBot="1">
      <c r="A483" s="267" t="s">
        <v>407</v>
      </c>
      <c r="B483" s="245">
        <v>0</v>
      </c>
      <c r="C483" s="245">
        <v>0</v>
      </c>
      <c r="D483" s="396"/>
      <c r="E483" s="252">
        <v>0</v>
      </c>
      <c r="F483" s="245">
        <v>0</v>
      </c>
      <c r="G483" s="324"/>
      <c r="H483" s="368">
        <f t="shared" si="7"/>
        <v>0</v>
      </c>
    </row>
    <row r="484" spans="1:8">
      <c r="A484" s="268" t="s">
        <v>408</v>
      </c>
      <c r="B484" s="245">
        <v>0</v>
      </c>
      <c r="C484" s="245">
        <v>0</v>
      </c>
      <c r="D484" s="396">
        <v>0</v>
      </c>
      <c r="E484" s="245">
        <v>0</v>
      </c>
      <c r="F484" s="245">
        <v>0</v>
      </c>
      <c r="G484" s="324">
        <v>0</v>
      </c>
      <c r="H484" s="368">
        <f t="shared" si="7"/>
        <v>0</v>
      </c>
    </row>
    <row r="485" spans="1:8">
      <c r="A485" s="268" t="s">
        <v>409</v>
      </c>
      <c r="B485" s="245">
        <v>40983000</v>
      </c>
      <c r="C485" s="245">
        <v>24563000</v>
      </c>
      <c r="D485" s="396">
        <v>24563000</v>
      </c>
      <c r="E485" s="245">
        <v>28243000</v>
      </c>
      <c r="F485" s="245">
        <v>42279000</v>
      </c>
      <c r="G485" s="324">
        <v>64775000</v>
      </c>
      <c r="H485" s="368">
        <f t="shared" si="7"/>
        <v>200843000</v>
      </c>
    </row>
    <row r="486" spans="1:8">
      <c r="A486" s="268" t="s">
        <v>410</v>
      </c>
      <c r="B486" s="245">
        <v>0</v>
      </c>
      <c r="C486" s="245">
        <v>0</v>
      </c>
      <c r="D486" s="396">
        <v>0</v>
      </c>
      <c r="E486" s="245">
        <v>0</v>
      </c>
      <c r="F486" s="245">
        <v>0</v>
      </c>
      <c r="G486" s="324">
        <v>0</v>
      </c>
      <c r="H486" s="368">
        <f t="shared" si="7"/>
        <v>0</v>
      </c>
    </row>
    <row r="487" spans="1:8">
      <c r="A487" s="268" t="s">
        <v>411</v>
      </c>
      <c r="B487" s="245">
        <v>0</v>
      </c>
      <c r="C487" s="245">
        <v>0</v>
      </c>
      <c r="D487" s="396">
        <v>0</v>
      </c>
      <c r="E487" s="245">
        <v>0</v>
      </c>
      <c r="F487" s="245">
        <v>0</v>
      </c>
      <c r="G487" s="324">
        <v>0</v>
      </c>
      <c r="H487" s="368">
        <f t="shared" si="7"/>
        <v>0</v>
      </c>
    </row>
    <row r="488" spans="1:8">
      <c r="A488" s="268" t="s">
        <v>401</v>
      </c>
      <c r="B488" s="245">
        <v>0</v>
      </c>
      <c r="C488" s="245">
        <v>0</v>
      </c>
      <c r="D488" s="396">
        <v>0</v>
      </c>
      <c r="E488" s="245">
        <v>0</v>
      </c>
      <c r="F488" s="245">
        <v>0</v>
      </c>
      <c r="G488" s="324">
        <v>0</v>
      </c>
      <c r="H488" s="368">
        <f t="shared" si="7"/>
        <v>0</v>
      </c>
    </row>
    <row r="489" spans="1:8">
      <c r="A489" s="268" t="s">
        <v>412</v>
      </c>
      <c r="B489" s="245">
        <v>382669000</v>
      </c>
      <c r="C489" s="245">
        <v>183998000</v>
      </c>
      <c r="D489" s="396">
        <v>183998000</v>
      </c>
      <c r="E489" s="247">
        <v>206080000</v>
      </c>
      <c r="F489" s="245">
        <v>365014000</v>
      </c>
      <c r="G489" s="324">
        <v>684859000</v>
      </c>
      <c r="H489" s="368">
        <f t="shared" si="7"/>
        <v>1822620000</v>
      </c>
    </row>
    <row r="490" spans="1:8" ht="15.95" thickBot="1">
      <c r="A490" s="268" t="s">
        <v>413</v>
      </c>
      <c r="B490" s="245">
        <v>0</v>
      </c>
      <c r="C490" s="245">
        <v>0</v>
      </c>
      <c r="D490" s="396">
        <v>0</v>
      </c>
      <c r="E490" s="363">
        <v>0</v>
      </c>
      <c r="F490" s="245">
        <v>0</v>
      </c>
      <c r="G490" s="324">
        <v>0</v>
      </c>
      <c r="H490" s="368">
        <f t="shared" si="7"/>
        <v>0</v>
      </c>
    </row>
    <row r="491" spans="1:8" ht="15.95" thickBot="1">
      <c r="A491" s="268" t="s">
        <v>414</v>
      </c>
      <c r="B491" s="245">
        <v>0</v>
      </c>
      <c r="C491" s="245">
        <v>0</v>
      </c>
      <c r="D491" s="396">
        <v>0</v>
      </c>
      <c r="E491" s="245">
        <v>0</v>
      </c>
      <c r="F491" s="245">
        <v>0</v>
      </c>
      <c r="G491" s="324">
        <v>0</v>
      </c>
      <c r="H491" s="368">
        <f t="shared" si="7"/>
        <v>0</v>
      </c>
    </row>
    <row r="492" spans="1:8" ht="15.95" thickBot="1">
      <c r="A492" s="268" t="s">
        <v>415</v>
      </c>
      <c r="B492" s="245">
        <v>0</v>
      </c>
      <c r="C492" s="245">
        <v>0</v>
      </c>
      <c r="D492" s="396">
        <v>0</v>
      </c>
      <c r="E492" s="252">
        <v>0</v>
      </c>
      <c r="F492" s="245">
        <v>0</v>
      </c>
      <c r="G492" s="324">
        <v>0</v>
      </c>
      <c r="H492" s="368">
        <f t="shared" si="7"/>
        <v>0</v>
      </c>
    </row>
    <row r="493" spans="1:8">
      <c r="A493" s="268" t="s">
        <v>416</v>
      </c>
      <c r="B493" s="245">
        <v>0</v>
      </c>
      <c r="C493" s="245">
        <v>0</v>
      </c>
      <c r="D493" s="396">
        <v>0</v>
      </c>
      <c r="E493" s="245">
        <v>0</v>
      </c>
      <c r="F493" s="245">
        <v>0</v>
      </c>
      <c r="G493" s="324">
        <v>0</v>
      </c>
      <c r="H493" s="368">
        <f t="shared" si="7"/>
        <v>0</v>
      </c>
    </row>
    <row r="494" spans="1:8">
      <c r="A494" s="268" t="s">
        <v>417</v>
      </c>
      <c r="B494" s="245">
        <v>0</v>
      </c>
      <c r="C494" s="245">
        <v>0</v>
      </c>
      <c r="D494" s="396">
        <v>0</v>
      </c>
      <c r="E494" s="245">
        <v>0</v>
      </c>
      <c r="F494" s="245">
        <v>0</v>
      </c>
      <c r="G494" s="324">
        <v>0</v>
      </c>
      <c r="H494" s="368">
        <f t="shared" si="7"/>
        <v>0</v>
      </c>
    </row>
    <row r="495" spans="1:8" ht="15.95" thickBot="1">
      <c r="A495" s="268" t="s">
        <v>418</v>
      </c>
      <c r="B495" s="245">
        <v>68173000</v>
      </c>
      <c r="C495" s="245">
        <v>54889000</v>
      </c>
      <c r="D495" s="396">
        <v>54889000</v>
      </c>
      <c r="E495" s="245">
        <v>37497000</v>
      </c>
      <c r="F495" s="245">
        <v>69986000</v>
      </c>
      <c r="G495" s="324">
        <v>160754000</v>
      </c>
      <c r="H495" s="368">
        <f t="shared" si="7"/>
        <v>391299000</v>
      </c>
    </row>
    <row r="496" spans="1:8" ht="18" thickBot="1">
      <c r="A496" s="268" t="s">
        <v>56</v>
      </c>
      <c r="B496" s="245">
        <v>34743000</v>
      </c>
      <c r="C496" s="245">
        <v>7122000</v>
      </c>
      <c r="D496" s="396">
        <v>7122000</v>
      </c>
      <c r="E496" s="257">
        <v>67424000</v>
      </c>
      <c r="F496" s="245">
        <v>38824000</v>
      </c>
      <c r="G496" s="324">
        <v>34841000</v>
      </c>
      <c r="H496" s="368">
        <f t="shared" si="7"/>
        <v>182954000</v>
      </c>
    </row>
    <row r="497" spans="1:8" ht="15.95" thickBot="1">
      <c r="A497" s="311" t="s">
        <v>789</v>
      </c>
      <c r="B497" s="252">
        <v>526568000</v>
      </c>
      <c r="C497" s="252">
        <v>270572000</v>
      </c>
      <c r="D497" s="396">
        <v>270572000</v>
      </c>
      <c r="E497" s="245">
        <v>339244000</v>
      </c>
      <c r="F497" s="252">
        <v>516103000</v>
      </c>
      <c r="G497" s="341">
        <v>945229000</v>
      </c>
      <c r="H497" s="369">
        <f t="shared" si="7"/>
        <v>2597716000</v>
      </c>
    </row>
    <row r="498" spans="1:8" ht="18" thickBot="1">
      <c r="A498" s="268"/>
      <c r="B498" s="245">
        <v>0</v>
      </c>
      <c r="C498" s="245">
        <v>0</v>
      </c>
      <c r="D498" s="396"/>
      <c r="E498" s="257">
        <v>0</v>
      </c>
      <c r="F498" s="245">
        <v>0</v>
      </c>
      <c r="G498" s="324"/>
      <c r="H498" s="368">
        <f t="shared" si="7"/>
        <v>0</v>
      </c>
    </row>
    <row r="499" spans="1:8" ht="15.95" thickBot="1">
      <c r="A499" s="267" t="s">
        <v>790</v>
      </c>
      <c r="B499" s="245">
        <v>0</v>
      </c>
      <c r="C499" s="245">
        <v>0</v>
      </c>
      <c r="D499" s="396"/>
      <c r="E499" s="245">
        <v>0</v>
      </c>
      <c r="F499" s="245">
        <v>0</v>
      </c>
      <c r="G499" s="324"/>
      <c r="H499" s="368">
        <f t="shared" si="7"/>
        <v>0</v>
      </c>
    </row>
    <row r="500" spans="1:8" ht="15.95" thickBot="1">
      <c r="A500" s="268" t="s">
        <v>421</v>
      </c>
      <c r="B500" s="245">
        <v>1380614000</v>
      </c>
      <c r="C500" s="245">
        <v>1427561000</v>
      </c>
      <c r="D500" s="396">
        <v>1427561000</v>
      </c>
      <c r="E500" s="252">
        <v>1299552000</v>
      </c>
      <c r="F500" s="245">
        <v>1307957000</v>
      </c>
      <c r="G500" s="324">
        <v>1411567000</v>
      </c>
      <c r="H500" s="368">
        <f t="shared" si="7"/>
        <v>6827251000</v>
      </c>
    </row>
    <row r="501" spans="1:8" ht="15.95" thickBot="1">
      <c r="A501" s="268" t="s">
        <v>422</v>
      </c>
      <c r="B501" s="245">
        <v>0</v>
      </c>
      <c r="C501" s="245">
        <v>0</v>
      </c>
      <c r="D501" s="396">
        <v>0</v>
      </c>
      <c r="E501" s="245">
        <v>0</v>
      </c>
      <c r="F501" s="245">
        <v>0</v>
      </c>
      <c r="G501" s="324">
        <v>0</v>
      </c>
      <c r="H501" s="368">
        <f t="shared" si="7"/>
        <v>0</v>
      </c>
    </row>
    <row r="502" spans="1:8" ht="15.95" thickBot="1">
      <c r="A502" s="268" t="s">
        <v>423</v>
      </c>
      <c r="B502" s="245">
        <v>0</v>
      </c>
      <c r="C502" s="245">
        <v>0</v>
      </c>
      <c r="D502" s="396">
        <v>0</v>
      </c>
      <c r="E502" s="252">
        <v>0</v>
      </c>
      <c r="F502" s="245">
        <v>0</v>
      </c>
      <c r="G502" s="324">
        <v>0</v>
      </c>
      <c r="H502" s="368">
        <f t="shared" si="7"/>
        <v>0</v>
      </c>
    </row>
    <row r="503" spans="1:8" ht="15.95" thickBot="1">
      <c r="A503" s="268" t="s">
        <v>424</v>
      </c>
      <c r="B503" s="245">
        <v>0</v>
      </c>
      <c r="C503" s="245">
        <v>0</v>
      </c>
      <c r="D503" s="396">
        <v>0</v>
      </c>
      <c r="E503" s="245">
        <v>0</v>
      </c>
      <c r="F503" s="245">
        <v>0</v>
      </c>
      <c r="G503" s="324">
        <v>0</v>
      </c>
      <c r="H503" s="368">
        <f t="shared" si="7"/>
        <v>0</v>
      </c>
    </row>
    <row r="504" spans="1:8" ht="15.95" thickBot="1">
      <c r="A504" s="268" t="s">
        <v>425</v>
      </c>
      <c r="B504" s="245">
        <v>0</v>
      </c>
      <c r="C504" s="245">
        <v>0</v>
      </c>
      <c r="D504" s="403">
        <v>0</v>
      </c>
      <c r="E504" s="252">
        <v>0</v>
      </c>
      <c r="F504" s="245">
        <v>0</v>
      </c>
      <c r="G504" s="324">
        <v>0</v>
      </c>
      <c r="H504" s="368">
        <f t="shared" si="7"/>
        <v>0</v>
      </c>
    </row>
    <row r="505" spans="1:8" ht="15.95" thickBot="1">
      <c r="A505" s="268" t="s">
        <v>426</v>
      </c>
      <c r="B505" s="245">
        <v>0</v>
      </c>
      <c r="C505" s="245">
        <v>0</v>
      </c>
      <c r="D505" s="403">
        <v>0</v>
      </c>
      <c r="E505" s="245">
        <v>0</v>
      </c>
      <c r="F505" s="245">
        <v>0</v>
      </c>
      <c r="G505" s="324">
        <v>0</v>
      </c>
      <c r="H505" s="368">
        <f t="shared" si="7"/>
        <v>0</v>
      </c>
    </row>
    <row r="506" spans="1:8" ht="18" thickBot="1">
      <c r="A506" s="268" t="s">
        <v>56</v>
      </c>
      <c r="B506" s="245">
        <v>0</v>
      </c>
      <c r="C506" s="245">
        <v>0</v>
      </c>
      <c r="D506" s="403">
        <v>0</v>
      </c>
      <c r="E506" s="257">
        <v>0</v>
      </c>
      <c r="F506" s="245">
        <v>0</v>
      </c>
      <c r="G506" s="324">
        <v>0</v>
      </c>
      <c r="H506" s="368">
        <f t="shared" si="7"/>
        <v>0</v>
      </c>
    </row>
    <row r="507" spans="1:8">
      <c r="A507" s="268"/>
      <c r="B507" s="245">
        <v>0</v>
      </c>
      <c r="C507" s="245">
        <v>0</v>
      </c>
      <c r="D507" s="396">
        <v>0</v>
      </c>
      <c r="E507" s="253">
        <v>0</v>
      </c>
      <c r="F507" s="245">
        <v>0</v>
      </c>
      <c r="G507" s="324">
        <v>0</v>
      </c>
      <c r="H507" s="368">
        <f t="shared" si="7"/>
        <v>0</v>
      </c>
    </row>
    <row r="508" spans="1:8">
      <c r="A508" s="267" t="s">
        <v>427</v>
      </c>
      <c r="B508" s="245">
        <v>0</v>
      </c>
      <c r="C508" s="245">
        <v>0</v>
      </c>
      <c r="D508" s="403">
        <v>0</v>
      </c>
      <c r="E508" s="324">
        <v>0</v>
      </c>
      <c r="F508" s="245">
        <v>0</v>
      </c>
      <c r="G508" s="324">
        <v>0</v>
      </c>
      <c r="H508" s="368">
        <f t="shared" si="7"/>
        <v>0</v>
      </c>
    </row>
    <row r="509" spans="1:8">
      <c r="A509" s="268" t="s">
        <v>428</v>
      </c>
      <c r="B509" s="245">
        <v>0</v>
      </c>
      <c r="C509" s="245">
        <v>0</v>
      </c>
      <c r="D509" s="396">
        <v>0</v>
      </c>
      <c r="E509" s="324">
        <v>0</v>
      </c>
      <c r="F509" s="245">
        <v>0</v>
      </c>
      <c r="G509" s="324">
        <v>0</v>
      </c>
      <c r="H509" s="368">
        <f t="shared" si="7"/>
        <v>0</v>
      </c>
    </row>
    <row r="510" spans="1:8" ht="15.95" thickBot="1">
      <c r="A510" s="268" t="s">
        <v>56</v>
      </c>
      <c r="B510" s="245">
        <v>0</v>
      </c>
      <c r="C510" s="245">
        <v>0</v>
      </c>
      <c r="D510" s="403">
        <v>0</v>
      </c>
      <c r="E510" s="324">
        <v>0</v>
      </c>
      <c r="F510" s="245">
        <v>0</v>
      </c>
      <c r="G510" s="324">
        <v>0</v>
      </c>
      <c r="H510" s="368">
        <f t="shared" si="7"/>
        <v>0</v>
      </c>
    </row>
    <row r="511" spans="1:8" ht="15.95" thickBot="1">
      <c r="A511" s="311" t="s">
        <v>791</v>
      </c>
      <c r="B511" s="252">
        <v>1380614000</v>
      </c>
      <c r="C511" s="252">
        <v>1427561000</v>
      </c>
      <c r="D511" s="403">
        <v>1427561000</v>
      </c>
      <c r="E511" s="247">
        <v>1299552000</v>
      </c>
      <c r="F511" s="252">
        <v>1307957000</v>
      </c>
      <c r="G511" s="341">
        <v>1411567000</v>
      </c>
      <c r="H511" s="369">
        <f t="shared" si="7"/>
        <v>6827251000</v>
      </c>
    </row>
    <row r="512" spans="1:8" ht="15.95" thickBot="1">
      <c r="A512" s="267"/>
      <c r="B512" s="245">
        <v>0</v>
      </c>
      <c r="C512" s="245">
        <v>0</v>
      </c>
      <c r="D512" s="403"/>
      <c r="E512" s="324">
        <v>0</v>
      </c>
      <c r="F512" s="245">
        <v>0</v>
      </c>
      <c r="G512" s="324"/>
      <c r="H512" s="368">
        <f t="shared" si="7"/>
        <v>0</v>
      </c>
    </row>
    <row r="513" spans="1:8" ht="15.95" thickBot="1">
      <c r="A513" s="311" t="s">
        <v>792</v>
      </c>
      <c r="B513" s="252">
        <v>1907182000</v>
      </c>
      <c r="C513" s="252">
        <v>1698133000</v>
      </c>
      <c r="D513" s="396">
        <v>1698133000</v>
      </c>
      <c r="E513" s="247">
        <v>1638796000</v>
      </c>
      <c r="F513" s="252">
        <v>1824060000</v>
      </c>
      <c r="G513" s="341">
        <v>2356796000</v>
      </c>
      <c r="H513" s="369">
        <f t="shared" si="7"/>
        <v>9424967000</v>
      </c>
    </row>
    <row r="514" spans="1:8">
      <c r="A514" s="267"/>
      <c r="B514" s="245">
        <v>0</v>
      </c>
      <c r="C514" s="245">
        <v>0</v>
      </c>
      <c r="D514" s="403"/>
      <c r="E514" s="324">
        <v>0</v>
      </c>
      <c r="F514" s="245">
        <v>0</v>
      </c>
      <c r="G514" s="324"/>
      <c r="H514" s="368">
        <f t="shared" si="7"/>
        <v>0</v>
      </c>
    </row>
    <row r="515" spans="1:8">
      <c r="A515" s="267" t="s">
        <v>431</v>
      </c>
      <c r="B515" s="245">
        <v>0</v>
      </c>
      <c r="C515" s="245">
        <v>0</v>
      </c>
      <c r="D515" s="403"/>
      <c r="E515" s="324">
        <v>0</v>
      </c>
      <c r="F515" s="245">
        <v>0</v>
      </c>
      <c r="G515" s="324"/>
      <c r="H515" s="368">
        <f t="shared" si="7"/>
        <v>0</v>
      </c>
    </row>
    <row r="516" spans="1:8">
      <c r="A516" s="268" t="s">
        <v>432</v>
      </c>
      <c r="B516" s="245">
        <v>0</v>
      </c>
      <c r="C516" s="245">
        <v>0</v>
      </c>
      <c r="D516" s="403">
        <v>0</v>
      </c>
      <c r="E516" s="324">
        <v>0</v>
      </c>
      <c r="F516" s="245">
        <v>0</v>
      </c>
      <c r="G516" s="324">
        <v>0</v>
      </c>
      <c r="H516" s="368">
        <f t="shared" si="7"/>
        <v>0</v>
      </c>
    </row>
    <row r="517" spans="1:8">
      <c r="A517" s="273" t="s">
        <v>433</v>
      </c>
      <c r="B517" s="245">
        <v>12567704590.880001</v>
      </c>
      <c r="C517" s="245">
        <v>1379421377.2</v>
      </c>
      <c r="D517" s="403">
        <v>1379421377.2</v>
      </c>
      <c r="E517" s="247">
        <v>2123644014.3600001</v>
      </c>
      <c r="F517" s="245">
        <v>7833297961.7600002</v>
      </c>
      <c r="G517" s="324">
        <v>1367829571.8899999</v>
      </c>
      <c r="H517" s="368">
        <f t="shared" si="7"/>
        <v>25271897516.090004</v>
      </c>
    </row>
    <row r="518" spans="1:8">
      <c r="A518" s="268" t="s">
        <v>434</v>
      </c>
      <c r="B518" s="245">
        <v>0</v>
      </c>
      <c r="C518" s="245">
        <v>0</v>
      </c>
      <c r="D518" s="396">
        <v>0</v>
      </c>
      <c r="E518" s="324">
        <v>0</v>
      </c>
      <c r="F518" s="245">
        <v>0</v>
      </c>
      <c r="G518" s="324">
        <v>0</v>
      </c>
      <c r="H518" s="368">
        <f t="shared" si="7"/>
        <v>0</v>
      </c>
    </row>
    <row r="519" spans="1:8" ht="15.95" thickBot="1">
      <c r="A519" s="268" t="s">
        <v>56</v>
      </c>
      <c r="B519" s="245">
        <v>7112893.8300000001</v>
      </c>
      <c r="C519" s="245">
        <v>710548116.45000005</v>
      </c>
      <c r="D519" s="403">
        <v>710548116.45000005</v>
      </c>
      <c r="E519" s="324">
        <v>0</v>
      </c>
      <c r="F519" s="245">
        <v>57979.13</v>
      </c>
      <c r="G519" s="324">
        <v>31966024.859999999</v>
      </c>
      <c r="H519" s="368">
        <f t="shared" si="7"/>
        <v>749685014.2700001</v>
      </c>
    </row>
    <row r="520" spans="1:8" ht="15.95" thickBot="1">
      <c r="A520" s="312" t="s">
        <v>793</v>
      </c>
      <c r="B520" s="252">
        <v>14481999484.710001</v>
      </c>
      <c r="C520" s="252">
        <v>2089969493.6500001</v>
      </c>
      <c r="D520" s="403">
        <v>2089969493.6500001</v>
      </c>
      <c r="E520" s="326">
        <v>2123644014.3600001</v>
      </c>
      <c r="F520" s="252">
        <v>9657415940.8899994</v>
      </c>
      <c r="G520" s="341">
        <v>1399795596.7499998</v>
      </c>
      <c r="H520" s="369">
        <f t="shared" si="7"/>
        <v>29752824530.360001</v>
      </c>
    </row>
    <row r="521" spans="1:8" ht="15.95" thickBot="1">
      <c r="A521" s="267"/>
      <c r="B521" s="245">
        <v>0</v>
      </c>
      <c r="C521" s="245">
        <v>0</v>
      </c>
      <c r="D521" s="403"/>
      <c r="E521" s="324">
        <v>0</v>
      </c>
      <c r="F521" s="245">
        <v>0</v>
      </c>
      <c r="G521" s="324"/>
      <c r="H521" s="368">
        <f t="shared" ref="H521:H536" si="8">B521+C521+E521+F521+G521</f>
        <v>0</v>
      </c>
    </row>
    <row r="522" spans="1:8" ht="15.95" thickBot="1">
      <c r="A522" s="312" t="s">
        <v>794</v>
      </c>
      <c r="B522" s="252">
        <v>15862613484.710001</v>
      </c>
      <c r="C522" s="252">
        <v>3788102493.6500001</v>
      </c>
      <c r="D522" s="403">
        <v>3788102493.6500001</v>
      </c>
      <c r="E522" s="247">
        <v>3762440014.3600001</v>
      </c>
      <c r="F522" s="252">
        <v>10965372940.889999</v>
      </c>
      <c r="G522" s="341">
        <v>3756591596.75</v>
      </c>
      <c r="H522" s="369">
        <f t="shared" si="8"/>
        <v>38135120530.360001</v>
      </c>
    </row>
    <row r="523" spans="1:8">
      <c r="A523" s="267"/>
      <c r="B523" s="245">
        <v>0</v>
      </c>
      <c r="C523" s="245">
        <v>0</v>
      </c>
      <c r="D523" s="403"/>
      <c r="E523" s="324">
        <v>0</v>
      </c>
      <c r="F523" s="245">
        <v>0</v>
      </c>
      <c r="G523" s="324"/>
      <c r="H523" s="368">
        <f t="shared" si="8"/>
        <v>0</v>
      </c>
    </row>
    <row r="524" spans="1:8">
      <c r="A524" s="267" t="s">
        <v>524</v>
      </c>
      <c r="B524" s="245">
        <v>0</v>
      </c>
      <c r="C524" s="245">
        <v>0</v>
      </c>
      <c r="D524" s="396"/>
      <c r="E524" s="324">
        <v>0</v>
      </c>
      <c r="F524" s="245">
        <v>0</v>
      </c>
      <c r="G524" s="326"/>
      <c r="H524" s="368">
        <f t="shared" si="8"/>
        <v>0</v>
      </c>
    </row>
    <row r="525" spans="1:8" ht="15.95" thickBot="1">
      <c r="A525" s="267"/>
      <c r="B525" s="245">
        <v>0</v>
      </c>
      <c r="C525" s="245">
        <v>0</v>
      </c>
      <c r="D525" s="408"/>
      <c r="E525" s="324">
        <v>0</v>
      </c>
      <c r="F525" s="245">
        <v>0</v>
      </c>
      <c r="G525" s="333"/>
      <c r="H525" s="368">
        <f t="shared" si="8"/>
        <v>0</v>
      </c>
    </row>
    <row r="526" spans="1:8" ht="15.95" thickBot="1">
      <c r="A526" s="313" t="s">
        <v>538</v>
      </c>
      <c r="B526" s="252">
        <v>61737666333.869995</v>
      </c>
      <c r="C526" s="252">
        <v>71955034925.970001</v>
      </c>
      <c r="D526" s="403">
        <v>72461249328.180008</v>
      </c>
      <c r="E526" s="324">
        <v>49796728155.740005</v>
      </c>
      <c r="F526" s="260">
        <v>60587826406.769997</v>
      </c>
      <c r="G526" s="341">
        <v>71429726896.331772</v>
      </c>
      <c r="H526" s="369">
        <f t="shared" si="8"/>
        <v>315506982718.68176</v>
      </c>
    </row>
    <row r="527" spans="1:8" ht="15.95" thickBot="1">
      <c r="A527" s="313"/>
      <c r="B527" s="245">
        <v>0</v>
      </c>
      <c r="C527" s="245">
        <v>0</v>
      </c>
      <c r="D527" s="409"/>
      <c r="E527" s="324">
        <v>0</v>
      </c>
      <c r="F527" s="245">
        <v>0</v>
      </c>
      <c r="G527" s="331"/>
      <c r="H527" s="368">
        <f t="shared" si="8"/>
        <v>0</v>
      </c>
    </row>
    <row r="528" spans="1:8" ht="15.95" thickBot="1">
      <c r="A528" s="313" t="s">
        <v>499</v>
      </c>
      <c r="B528" s="252">
        <v>293408391.57999998</v>
      </c>
      <c r="C528" s="252">
        <v>462508130.32000005</v>
      </c>
      <c r="D528" s="396">
        <v>471599996.88999999</v>
      </c>
      <c r="E528" s="247">
        <v>283508562.79000002</v>
      </c>
      <c r="F528" s="260">
        <v>168835722.43000001</v>
      </c>
      <c r="G528" s="341">
        <v>1145383541.5600002</v>
      </c>
      <c r="H528" s="369">
        <f t="shared" si="8"/>
        <v>2353644348.6800003</v>
      </c>
    </row>
    <row r="529" spans="1:8" ht="15.95" thickBot="1">
      <c r="A529" s="313"/>
      <c r="B529" s="245">
        <v>0</v>
      </c>
      <c r="C529" s="245">
        <v>0</v>
      </c>
      <c r="D529" s="409"/>
      <c r="E529" s="324">
        <v>0</v>
      </c>
      <c r="F529" s="245">
        <v>0</v>
      </c>
      <c r="G529" s="331"/>
      <c r="H529" s="368">
        <f t="shared" si="8"/>
        <v>0</v>
      </c>
    </row>
    <row r="530" spans="1:8" ht="15.95" thickBot="1">
      <c r="A530" s="313" t="s">
        <v>494</v>
      </c>
      <c r="B530" s="252">
        <v>0</v>
      </c>
      <c r="C530" s="252">
        <v>0</v>
      </c>
      <c r="D530" s="396">
        <v>0</v>
      </c>
      <c r="E530" s="324">
        <v>0</v>
      </c>
      <c r="F530" s="260">
        <v>0</v>
      </c>
      <c r="G530" s="324">
        <v>0</v>
      </c>
      <c r="H530" s="368">
        <f t="shared" si="8"/>
        <v>0</v>
      </c>
    </row>
    <row r="531" spans="1:8" ht="15.95" thickBot="1">
      <c r="A531" s="314"/>
      <c r="B531" s="245">
        <v>0</v>
      </c>
      <c r="C531" s="245">
        <v>0</v>
      </c>
      <c r="D531" s="403"/>
      <c r="E531" s="324">
        <v>0</v>
      </c>
      <c r="F531" s="245">
        <v>0</v>
      </c>
      <c r="G531" s="324"/>
      <c r="H531" s="368">
        <f t="shared" si="8"/>
        <v>0</v>
      </c>
    </row>
    <row r="532" spans="1:8" ht="15.95" thickBot="1">
      <c r="A532" s="307" t="s">
        <v>795</v>
      </c>
      <c r="B532" s="252">
        <v>105742890</v>
      </c>
      <c r="C532" s="252">
        <v>115711163.59999999</v>
      </c>
      <c r="D532" s="396">
        <v>115711163.59999999</v>
      </c>
      <c r="E532" s="247">
        <v>277532000</v>
      </c>
      <c r="F532" s="260">
        <v>1286870329</v>
      </c>
      <c r="G532" s="340">
        <v>1548431697.0699999</v>
      </c>
      <c r="H532" s="368">
        <f t="shared" si="8"/>
        <v>3334288079.6700001</v>
      </c>
    </row>
    <row r="533" spans="1:8" ht="15.95" thickBot="1">
      <c r="A533" s="314"/>
      <c r="B533" s="245">
        <v>0</v>
      </c>
      <c r="C533" s="245">
        <v>0</v>
      </c>
      <c r="D533" s="409"/>
      <c r="E533" s="324">
        <v>0</v>
      </c>
      <c r="F533" s="245">
        <v>0</v>
      </c>
      <c r="G533" s="331"/>
      <c r="H533" s="368">
        <f t="shared" si="8"/>
        <v>0</v>
      </c>
    </row>
    <row r="534" spans="1:8" ht="15.95" thickBot="1">
      <c r="A534" s="313" t="s">
        <v>796</v>
      </c>
      <c r="B534" s="252">
        <v>15862613484.710001</v>
      </c>
      <c r="C534" s="252">
        <v>3788102493.6500001</v>
      </c>
      <c r="D534" s="410">
        <v>3788102493.6500001</v>
      </c>
      <c r="E534" s="247">
        <v>3762440014.3600001</v>
      </c>
      <c r="F534" s="260">
        <v>10965372940.889999</v>
      </c>
      <c r="G534" s="340">
        <v>3756591596.75</v>
      </c>
      <c r="H534" s="368">
        <f t="shared" si="8"/>
        <v>38135120530.360001</v>
      </c>
    </row>
    <row r="535" spans="1:8" ht="15.95" thickBot="1">
      <c r="A535" s="315"/>
      <c r="B535" s="245">
        <v>0</v>
      </c>
      <c r="C535" s="245">
        <v>0</v>
      </c>
      <c r="E535" s="324">
        <v>0</v>
      </c>
      <c r="F535" s="245">
        <v>0</v>
      </c>
      <c r="G535" s="333"/>
      <c r="H535" s="368">
        <f t="shared" si="8"/>
        <v>0</v>
      </c>
    </row>
    <row r="536" spans="1:8" ht="15.95" thickBot="1">
      <c r="A536" s="316" t="s">
        <v>38</v>
      </c>
      <c r="B536" s="252">
        <v>76125627600.350006</v>
      </c>
      <c r="C536" s="252">
        <v>76321356713.540009</v>
      </c>
      <c r="D536" s="410">
        <v>76836662982.320007</v>
      </c>
      <c r="E536" s="360">
        <v>54120208732.889999</v>
      </c>
      <c r="F536" s="260">
        <v>70414078070.089996</v>
      </c>
      <c r="G536" s="347">
        <v>77880133731.711777</v>
      </c>
      <c r="H536" s="370">
        <f t="shared" si="8"/>
        <v>354861404848.58179</v>
      </c>
    </row>
    <row r="537" spans="1:8">
      <c r="A537" s="317"/>
      <c r="B537" s="253"/>
      <c r="C537" s="253"/>
      <c r="E537" s="324"/>
      <c r="F537" s="253"/>
    </row>
    <row r="538" spans="1:8">
      <c r="E538" s="324"/>
    </row>
    <row r="539" spans="1:8">
      <c r="E539" s="324"/>
    </row>
    <row r="540" spans="1:8">
      <c r="E540" s="324"/>
    </row>
    <row r="541" spans="1:8">
      <c r="E541" s="324"/>
    </row>
    <row r="542" spans="1:8">
      <c r="E542" s="324"/>
    </row>
    <row r="543" spans="1:8">
      <c r="E543" s="324"/>
    </row>
    <row r="544" spans="1:8">
      <c r="E544" s="324"/>
    </row>
    <row r="545" spans="5:5">
      <c r="E545" s="324"/>
    </row>
    <row r="546" spans="5:5">
      <c r="E546" s="324"/>
    </row>
    <row r="547" spans="5:5">
      <c r="E547" s="324"/>
    </row>
    <row r="548" spans="5:5">
      <c r="E548" s="324"/>
    </row>
    <row r="549" spans="5:5">
      <c r="E549" s="324"/>
    </row>
    <row r="550" spans="5:5">
      <c r="E550" s="324"/>
    </row>
    <row r="551" spans="5:5">
      <c r="E551" s="324"/>
    </row>
    <row r="552" spans="5:5">
      <c r="E552" s="324"/>
    </row>
    <row r="553" spans="5:5">
      <c r="E553" s="324"/>
    </row>
    <row r="554" spans="5:5">
      <c r="E554" s="324"/>
    </row>
    <row r="555" spans="5:5">
      <c r="E555" s="324"/>
    </row>
    <row r="556" spans="5:5">
      <c r="E556" s="324"/>
    </row>
    <row r="557" spans="5:5">
      <c r="E557" s="324"/>
    </row>
    <row r="558" spans="5:5">
      <c r="E558" s="324"/>
    </row>
    <row r="559" spans="5:5">
      <c r="E559" s="324"/>
    </row>
    <row r="560" spans="5:5">
      <c r="E560" s="324"/>
    </row>
    <row r="561" spans="5:5">
      <c r="E561" s="324"/>
    </row>
    <row r="562" spans="5:5">
      <c r="E562" s="324"/>
    </row>
    <row r="563" spans="5:5">
      <c r="E563" s="324"/>
    </row>
    <row r="564" spans="5:5">
      <c r="E564" s="324"/>
    </row>
    <row r="565" spans="5:5">
      <c r="E565" s="324"/>
    </row>
    <row r="566" spans="5:5">
      <c r="E566" s="324"/>
    </row>
    <row r="567" spans="5:5">
      <c r="E567" s="324"/>
    </row>
    <row r="568" spans="5:5">
      <c r="E568" s="324"/>
    </row>
    <row r="569" spans="5:5">
      <c r="E569" s="324"/>
    </row>
    <row r="570" spans="5:5">
      <c r="E570" s="324"/>
    </row>
    <row r="571" spans="5:5">
      <c r="E571" s="324"/>
    </row>
    <row r="572" spans="5:5">
      <c r="E572" s="324"/>
    </row>
    <row r="573" spans="5:5">
      <c r="E573" s="324"/>
    </row>
    <row r="574" spans="5:5">
      <c r="E574" s="324"/>
    </row>
    <row r="575" spans="5:5">
      <c r="E575" s="324"/>
    </row>
    <row r="576" spans="5:5">
      <c r="E576" s="324"/>
    </row>
    <row r="577" spans="5:5">
      <c r="E577" s="324"/>
    </row>
    <row r="578" spans="5:5">
      <c r="E578" s="324"/>
    </row>
    <row r="579" spans="5:5">
      <c r="E579" s="324"/>
    </row>
    <row r="580" spans="5:5">
      <c r="E580" s="324"/>
    </row>
    <row r="581" spans="5:5">
      <c r="E581" s="324"/>
    </row>
    <row r="582" spans="5:5">
      <c r="E582" s="324"/>
    </row>
    <row r="583" spans="5:5">
      <c r="E583" s="324"/>
    </row>
    <row r="584" spans="5:5">
      <c r="E584" s="324"/>
    </row>
    <row r="585" spans="5:5">
      <c r="E585" s="324"/>
    </row>
    <row r="586" spans="5:5">
      <c r="E586" s="324"/>
    </row>
    <row r="587" spans="5:5">
      <c r="E587" s="324"/>
    </row>
    <row r="588" spans="5:5">
      <c r="E588" s="324"/>
    </row>
    <row r="589" spans="5:5">
      <c r="E589" s="324"/>
    </row>
    <row r="590" spans="5:5">
      <c r="E590" s="324"/>
    </row>
    <row r="591" spans="5:5">
      <c r="E591" s="324"/>
    </row>
    <row r="592" spans="5:5">
      <c r="E592" s="324"/>
    </row>
    <row r="593" spans="5:5">
      <c r="E593" s="324"/>
    </row>
    <row r="594" spans="5:5">
      <c r="E594" s="324"/>
    </row>
    <row r="595" spans="5:5">
      <c r="E595" s="324"/>
    </row>
    <row r="596" spans="5:5">
      <c r="E596" s="324"/>
    </row>
    <row r="597" spans="5:5">
      <c r="E597" s="324"/>
    </row>
    <row r="598" spans="5:5">
      <c r="E598" s="324"/>
    </row>
    <row r="599" spans="5:5">
      <c r="E599" s="324"/>
    </row>
    <row r="600" spans="5:5">
      <c r="E600" s="324"/>
    </row>
    <row r="601" spans="5:5">
      <c r="E601" s="324"/>
    </row>
    <row r="602" spans="5:5">
      <c r="E602" s="324"/>
    </row>
    <row r="603" spans="5:5">
      <c r="E603" s="324"/>
    </row>
    <row r="604" spans="5:5">
      <c r="E604" s="324"/>
    </row>
    <row r="605" spans="5:5">
      <c r="E605" s="324"/>
    </row>
    <row r="606" spans="5:5">
      <c r="E606" s="324"/>
    </row>
    <row r="607" spans="5:5">
      <c r="E607" s="324"/>
    </row>
    <row r="608" spans="5:5">
      <c r="E608" s="324"/>
    </row>
    <row r="609" spans="5:5">
      <c r="E609" s="324"/>
    </row>
    <row r="610" spans="5:5">
      <c r="E610" s="324"/>
    </row>
    <row r="611" spans="5:5">
      <c r="E611" s="324"/>
    </row>
    <row r="612" spans="5:5">
      <c r="E612" s="324"/>
    </row>
    <row r="613" spans="5:5">
      <c r="E613" s="324"/>
    </row>
    <row r="614" spans="5:5">
      <c r="E614" s="324"/>
    </row>
    <row r="615" spans="5:5">
      <c r="E615" s="324"/>
    </row>
    <row r="616" spans="5:5">
      <c r="E616" s="324"/>
    </row>
    <row r="617" spans="5:5">
      <c r="E617" s="324"/>
    </row>
    <row r="618" spans="5:5">
      <c r="E618" s="324"/>
    </row>
    <row r="619" spans="5:5">
      <c r="E619" s="324"/>
    </row>
    <row r="620" spans="5:5">
      <c r="E620" s="324"/>
    </row>
    <row r="621" spans="5:5">
      <c r="E621" s="324"/>
    </row>
    <row r="622" spans="5:5">
      <c r="E622" s="324"/>
    </row>
    <row r="623" spans="5:5">
      <c r="E623" s="324"/>
    </row>
    <row r="624" spans="5:5">
      <c r="E624" s="324"/>
    </row>
    <row r="625" spans="5:5">
      <c r="E625" s="324"/>
    </row>
    <row r="626" spans="5:5">
      <c r="E626" s="324"/>
    </row>
    <row r="627" spans="5:5">
      <c r="E627" s="324"/>
    </row>
    <row r="628" spans="5:5">
      <c r="E628" s="324"/>
    </row>
    <row r="629" spans="5:5">
      <c r="E629" s="324"/>
    </row>
    <row r="630" spans="5:5">
      <c r="E630" s="324"/>
    </row>
    <row r="631" spans="5:5">
      <c r="E631" s="324"/>
    </row>
    <row r="632" spans="5:5">
      <c r="E632" s="324"/>
    </row>
    <row r="633" spans="5:5">
      <c r="E633" s="324"/>
    </row>
    <row r="634" spans="5:5">
      <c r="E634" s="324"/>
    </row>
    <row r="635" spans="5:5">
      <c r="E635" s="324"/>
    </row>
    <row r="636" spans="5:5">
      <c r="E636" s="324"/>
    </row>
    <row r="637" spans="5:5">
      <c r="E637" s="324"/>
    </row>
    <row r="638" spans="5:5">
      <c r="E638" s="356"/>
    </row>
    <row r="639" spans="5:5">
      <c r="E639" s="356"/>
    </row>
    <row r="640" spans="5:5">
      <c r="E640" s="356"/>
    </row>
    <row r="641" spans="5:5">
      <c r="E641" s="356"/>
    </row>
    <row r="642" spans="5:5">
      <c r="E642" s="356"/>
    </row>
    <row r="643" spans="5:5">
      <c r="E643" s="356"/>
    </row>
    <row r="644" spans="5:5">
      <c r="E644" s="356"/>
    </row>
    <row r="645" spans="5:5">
      <c r="E645" s="356"/>
    </row>
    <row r="646" spans="5:5">
      <c r="E646" s="356"/>
    </row>
    <row r="647" spans="5:5">
      <c r="E647" s="356"/>
    </row>
    <row r="648" spans="5:5">
      <c r="E648" s="356"/>
    </row>
    <row r="649" spans="5:5">
      <c r="E649" s="356"/>
    </row>
    <row r="650" spans="5:5">
      <c r="E650" s="356"/>
    </row>
    <row r="651" spans="5:5">
      <c r="E651" s="356"/>
    </row>
    <row r="652" spans="5:5">
      <c r="E652" s="356"/>
    </row>
    <row r="653" spans="5:5">
      <c r="E653" s="356"/>
    </row>
    <row r="654" spans="5:5">
      <c r="E654" s="356"/>
    </row>
    <row r="655" spans="5:5">
      <c r="E655" s="356"/>
    </row>
    <row r="656" spans="5:5">
      <c r="E656" s="356"/>
    </row>
    <row r="657" spans="5:5">
      <c r="E657" s="356"/>
    </row>
    <row r="658" spans="5:5">
      <c r="E658" s="356"/>
    </row>
    <row r="659" spans="5:5">
      <c r="E659" s="356"/>
    </row>
    <row r="660" spans="5:5">
      <c r="E660" s="356"/>
    </row>
    <row r="661" spans="5:5">
      <c r="E661" s="356"/>
    </row>
    <row r="662" spans="5:5">
      <c r="E662" s="356"/>
    </row>
    <row r="663" spans="5:5">
      <c r="E663" s="356"/>
    </row>
    <row r="664" spans="5:5">
      <c r="E664" s="356"/>
    </row>
    <row r="665" spans="5:5">
      <c r="E665" s="356"/>
    </row>
    <row r="666" spans="5:5">
      <c r="E666" s="356"/>
    </row>
    <row r="667" spans="5:5">
      <c r="E667" s="356"/>
    </row>
  </sheetData>
  <pageMargins left="0.7" right="0.7" top="0.75" bottom="0.75" header="0.3" footer="0.3"/>
  <pageSetup orientation="portrait" verticalDpi="0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671"/>
  <sheetViews>
    <sheetView topLeftCell="H474" workbookViewId="0">
      <selection activeCell="J483" sqref="J483"/>
    </sheetView>
  </sheetViews>
  <sheetFormatPr defaultColWidth="9.140625" defaultRowHeight="15.6"/>
  <cols>
    <col min="1" max="1" width="85.28515625" style="246" customWidth="1"/>
    <col min="2" max="2" width="26.42578125" style="246" customWidth="1"/>
    <col min="3" max="3" width="38.140625" customWidth="1"/>
    <col min="4" max="5" width="37.7109375" style="246" customWidth="1"/>
    <col min="6" max="8" width="26.42578125" style="246" customWidth="1"/>
    <col min="9" max="10" width="37.7109375" style="246" customWidth="1"/>
    <col min="11" max="11" width="29.85546875" style="419" customWidth="1"/>
    <col min="12" max="12" width="24.42578125" style="384" customWidth="1"/>
    <col min="13" max="13" width="16" bestFit="1" customWidth="1"/>
  </cols>
  <sheetData>
    <row r="1" spans="1:12">
      <c r="A1"/>
      <c r="B1" s="322"/>
      <c r="D1" s="322"/>
      <c r="E1" s="322"/>
      <c r="F1" s="322"/>
      <c r="G1" s="322"/>
      <c r="H1" s="322"/>
      <c r="I1" s="322"/>
      <c r="J1" s="418"/>
      <c r="L1"/>
    </row>
    <row r="2" spans="1:12">
      <c r="A2"/>
      <c r="B2" s="322"/>
      <c r="D2" s="322"/>
      <c r="E2" s="322"/>
      <c r="F2" s="322"/>
      <c r="G2" s="322"/>
      <c r="H2" s="322"/>
      <c r="I2" s="322"/>
      <c r="J2" s="322"/>
      <c r="L2"/>
    </row>
    <row r="3" spans="1:12">
      <c r="A3"/>
      <c r="B3" s="322"/>
      <c r="D3" s="420"/>
      <c r="E3" s="420"/>
      <c r="F3" s="322"/>
      <c r="G3" s="322"/>
      <c r="H3" s="322"/>
      <c r="I3" s="420"/>
      <c r="J3" s="420"/>
      <c r="L3"/>
    </row>
    <row r="4" spans="1:12">
      <c r="A4" s="421"/>
      <c r="B4" s="322"/>
      <c r="D4" s="322"/>
      <c r="E4" s="322"/>
      <c r="F4" s="322"/>
      <c r="G4" s="322"/>
      <c r="H4" s="322"/>
      <c r="I4" s="322"/>
      <c r="J4" s="322"/>
      <c r="L4" s="382"/>
    </row>
    <row r="5" spans="1:12">
      <c r="A5" s="421"/>
      <c r="B5" s="328"/>
      <c r="C5" s="422"/>
      <c r="D5" s="328"/>
      <c r="E5" s="328"/>
      <c r="F5" s="328"/>
      <c r="G5" s="328"/>
      <c r="H5" s="328"/>
      <c r="I5" s="328"/>
      <c r="J5" s="328"/>
      <c r="L5" s="382"/>
    </row>
    <row r="6" spans="1:12">
      <c r="A6" s="421"/>
      <c r="B6" s="328"/>
      <c r="C6" s="422"/>
      <c r="D6" s="328"/>
      <c r="E6" s="328"/>
      <c r="F6" s="328"/>
      <c r="G6" s="328"/>
      <c r="H6" s="328"/>
      <c r="I6" s="328"/>
      <c r="J6" s="328"/>
      <c r="L6" s="383"/>
    </row>
    <row r="7" spans="1:12">
      <c r="A7" s="328"/>
      <c r="B7" s="423"/>
      <c r="C7" s="422"/>
      <c r="D7" s="423"/>
      <c r="E7" s="423"/>
      <c r="F7" s="423"/>
      <c r="G7" s="423"/>
      <c r="H7" s="423"/>
      <c r="I7" s="423"/>
      <c r="J7" s="423"/>
      <c r="L7" s="383"/>
    </row>
    <row r="8" spans="1:12">
      <c r="A8" s="421"/>
      <c r="B8" s="424"/>
      <c r="C8" s="425"/>
      <c r="D8" s="424"/>
      <c r="E8" s="424"/>
      <c r="F8" s="424"/>
      <c r="G8" s="424"/>
      <c r="H8" s="424"/>
      <c r="I8" s="424"/>
      <c r="J8" s="424"/>
      <c r="L8" s="382"/>
    </row>
    <row r="9" spans="1:12">
      <c r="A9" s="426"/>
      <c r="B9" s="427"/>
      <c r="C9" s="425"/>
      <c r="D9" s="427"/>
      <c r="E9" s="427"/>
      <c r="F9" s="427"/>
      <c r="G9" s="427"/>
      <c r="H9" s="427"/>
      <c r="I9" s="427"/>
      <c r="J9" s="427"/>
    </row>
    <row r="10" spans="1:12">
      <c r="A10" s="426"/>
      <c r="B10" s="428"/>
      <c r="D10" s="428"/>
      <c r="E10" s="428"/>
      <c r="F10" s="428"/>
      <c r="G10" s="428"/>
      <c r="H10" s="428"/>
      <c r="I10" s="428"/>
      <c r="J10" s="428"/>
      <c r="L10" s="382"/>
    </row>
    <row r="11" spans="1:12" ht="18">
      <c r="A11" s="429"/>
      <c r="B11" s="323"/>
      <c r="C11" s="348"/>
      <c r="D11" s="331"/>
      <c r="E11" s="430"/>
      <c r="F11" s="323"/>
      <c r="G11" s="323"/>
      <c r="H11" s="323"/>
      <c r="I11" s="324"/>
      <c r="J11" s="324"/>
      <c r="K11" s="431"/>
      <c r="L11" s="382"/>
    </row>
    <row r="12" spans="1:12" ht="18">
      <c r="A12" s="429"/>
      <c r="B12" s="323"/>
      <c r="C12" s="348"/>
      <c r="D12" s="331"/>
      <c r="E12" s="430"/>
      <c r="F12" s="323"/>
      <c r="G12" s="323"/>
      <c r="H12" s="323"/>
      <c r="I12" s="324"/>
      <c r="J12" s="324"/>
      <c r="K12" s="431"/>
      <c r="L12" s="432"/>
    </row>
    <row r="13" spans="1:12" ht="18">
      <c r="A13" s="429"/>
      <c r="B13" s="323"/>
      <c r="C13" s="348"/>
      <c r="D13" s="331"/>
      <c r="E13" s="430"/>
      <c r="F13" s="323"/>
      <c r="G13" s="323"/>
      <c r="H13" s="323"/>
      <c r="I13" s="324"/>
      <c r="J13" s="324"/>
      <c r="K13" s="431"/>
      <c r="L13" s="432"/>
    </row>
    <row r="14" spans="1:12" ht="18">
      <c r="A14" s="429"/>
      <c r="B14" s="323"/>
      <c r="C14" s="348"/>
      <c r="D14" s="331"/>
      <c r="E14" s="430"/>
      <c r="F14" s="323"/>
      <c r="G14" s="323"/>
      <c r="H14" s="323"/>
      <c r="I14" s="324"/>
      <c r="J14" s="324"/>
      <c r="K14" s="431"/>
      <c r="L14" s="432"/>
    </row>
    <row r="15" spans="1:12" ht="18">
      <c r="A15" s="429"/>
      <c r="B15" s="323"/>
      <c r="C15" s="348"/>
      <c r="D15" s="331"/>
      <c r="E15" s="430"/>
      <c r="F15" s="323"/>
      <c r="G15" s="323"/>
      <c r="H15" s="323"/>
      <c r="I15" s="324"/>
      <c r="J15" s="324"/>
      <c r="K15" s="431"/>
      <c r="L15" s="432"/>
    </row>
    <row r="16" spans="1:12" ht="18">
      <c r="A16" s="429"/>
      <c r="B16" s="323"/>
      <c r="C16" s="348"/>
      <c r="D16" s="331"/>
      <c r="E16" s="430"/>
      <c r="F16" s="323"/>
      <c r="G16" s="323"/>
      <c r="H16" s="323"/>
      <c r="I16" s="324"/>
      <c r="J16" s="324"/>
      <c r="K16" s="431"/>
      <c r="L16" s="432"/>
    </row>
    <row r="17" spans="1:12" ht="18">
      <c r="A17" s="429"/>
      <c r="B17" s="323"/>
      <c r="C17" s="348"/>
      <c r="D17" s="331"/>
      <c r="E17" s="430"/>
      <c r="F17" s="323"/>
      <c r="G17" s="323"/>
      <c r="H17" s="323"/>
      <c r="I17" s="324"/>
      <c r="J17" s="324"/>
      <c r="K17" s="431"/>
      <c r="L17" s="432"/>
    </row>
    <row r="18" spans="1:12" ht="18">
      <c r="A18" s="429"/>
      <c r="B18" s="323"/>
      <c r="C18" s="348"/>
      <c r="D18" s="331"/>
      <c r="E18" s="331"/>
      <c r="F18" s="323"/>
      <c r="G18" s="323"/>
      <c r="H18" s="323"/>
      <c r="I18" s="324"/>
      <c r="J18" s="324"/>
      <c r="K18" s="431"/>
      <c r="L18" s="432"/>
    </row>
    <row r="19" spans="1:12" ht="18">
      <c r="A19" s="429"/>
      <c r="B19" s="323"/>
      <c r="C19" s="348"/>
      <c r="D19" s="331"/>
      <c r="E19" s="331"/>
      <c r="F19" s="323"/>
      <c r="G19" s="323"/>
      <c r="H19" s="323"/>
      <c r="I19" s="324"/>
      <c r="J19" s="324"/>
      <c r="K19" s="431"/>
      <c r="L19" s="432"/>
    </row>
    <row r="20" spans="1:12" ht="18">
      <c r="A20" s="429"/>
      <c r="B20" s="323"/>
      <c r="C20" s="348"/>
      <c r="D20" s="331"/>
      <c r="E20" s="331"/>
      <c r="F20" s="323"/>
      <c r="G20" s="323"/>
      <c r="H20" s="323"/>
      <c r="I20" s="324"/>
      <c r="J20" s="324"/>
      <c r="K20" s="431"/>
      <c r="L20" s="432"/>
    </row>
    <row r="21" spans="1:12" ht="18">
      <c r="A21" s="429"/>
      <c r="B21" s="323"/>
      <c r="C21" s="348"/>
      <c r="D21" s="331"/>
      <c r="E21" s="331"/>
      <c r="F21" s="323"/>
      <c r="G21" s="323"/>
      <c r="H21" s="323"/>
      <c r="I21" s="324"/>
      <c r="J21" s="324"/>
      <c r="K21" s="431"/>
      <c r="L21" s="432"/>
    </row>
    <row r="22" spans="1:12" ht="18">
      <c r="A22" s="429"/>
      <c r="B22" s="323"/>
      <c r="C22" s="348"/>
      <c r="D22" s="331"/>
      <c r="E22" s="331"/>
      <c r="F22" s="323"/>
      <c r="G22" s="323"/>
      <c r="H22" s="323"/>
      <c r="I22" s="324"/>
      <c r="J22" s="324"/>
      <c r="K22" s="431"/>
      <c r="L22" s="432"/>
    </row>
    <row r="23" spans="1:12" ht="18">
      <c r="A23" s="429"/>
      <c r="B23" s="323"/>
      <c r="C23" s="348"/>
      <c r="D23" s="331"/>
      <c r="E23" s="430"/>
      <c r="F23" s="323"/>
      <c r="G23" s="323"/>
      <c r="H23" s="323"/>
      <c r="I23" s="324"/>
      <c r="J23" s="324"/>
      <c r="K23" s="431"/>
      <c r="L23" s="432"/>
    </row>
    <row r="24" spans="1:12" ht="18">
      <c r="A24" s="429"/>
      <c r="B24" s="323"/>
      <c r="C24" s="348"/>
      <c r="D24" s="331"/>
      <c r="E24" s="430"/>
      <c r="F24" s="323"/>
      <c r="G24" s="323"/>
      <c r="H24" s="323"/>
      <c r="I24" s="324"/>
      <c r="J24" s="324"/>
      <c r="K24" s="431"/>
      <c r="L24" s="432"/>
    </row>
    <row r="25" spans="1:12" ht="18">
      <c r="A25" s="429"/>
      <c r="B25" s="323"/>
      <c r="C25" s="348"/>
      <c r="D25" s="331"/>
      <c r="E25" s="331"/>
      <c r="F25" s="323"/>
      <c r="G25" s="323"/>
      <c r="H25" s="323"/>
      <c r="I25" s="324"/>
      <c r="J25" s="324"/>
      <c r="K25" s="431"/>
      <c r="L25" s="432"/>
    </row>
    <row r="26" spans="1:12" ht="18">
      <c r="A26" s="429"/>
      <c r="B26" s="323"/>
      <c r="C26" s="348"/>
      <c r="D26" s="331"/>
      <c r="E26" s="331"/>
      <c r="F26" s="323"/>
      <c r="G26" s="323"/>
      <c r="H26" s="323"/>
      <c r="I26" s="324"/>
      <c r="J26" s="324"/>
      <c r="K26" s="431"/>
      <c r="L26" s="432"/>
    </row>
    <row r="27" spans="1:12" ht="18">
      <c r="A27" s="429"/>
      <c r="B27" s="323"/>
      <c r="C27" s="348"/>
      <c r="D27" s="331"/>
      <c r="E27" s="331"/>
      <c r="F27" s="323"/>
      <c r="G27" s="323"/>
      <c r="H27" s="323"/>
      <c r="I27" s="324"/>
      <c r="J27" s="324"/>
      <c r="K27" s="431"/>
      <c r="L27" s="432"/>
    </row>
    <row r="28" spans="1:12" ht="18">
      <c r="A28" s="429"/>
      <c r="B28" s="323"/>
      <c r="C28" s="348"/>
      <c r="D28" s="331"/>
      <c r="E28" s="331"/>
      <c r="F28" s="323"/>
      <c r="G28" s="323"/>
      <c r="H28" s="323"/>
      <c r="I28" s="324"/>
      <c r="J28" s="324"/>
      <c r="K28" s="431"/>
      <c r="L28" s="432"/>
    </row>
    <row r="29" spans="1:12" ht="18">
      <c r="A29" s="429"/>
      <c r="B29" s="323"/>
      <c r="C29" s="348"/>
      <c r="D29" s="331"/>
      <c r="E29" s="331"/>
      <c r="F29" s="323"/>
      <c r="G29" s="323"/>
      <c r="H29" s="323"/>
      <c r="I29" s="324"/>
      <c r="J29" s="324"/>
      <c r="K29" s="431"/>
      <c r="L29" s="432"/>
    </row>
    <row r="30" spans="1:12" ht="18">
      <c r="A30" s="429"/>
      <c r="B30" s="323"/>
      <c r="C30" s="348"/>
      <c r="D30" s="331"/>
      <c r="E30" s="331"/>
      <c r="F30" s="323"/>
      <c r="G30" s="323"/>
      <c r="H30" s="323"/>
      <c r="I30" s="324"/>
      <c r="J30" s="324"/>
      <c r="K30" s="431"/>
      <c r="L30" s="432"/>
    </row>
    <row r="31" spans="1:12" ht="18">
      <c r="A31" s="429"/>
      <c r="B31" s="323"/>
      <c r="C31" s="348"/>
      <c r="D31" s="331"/>
      <c r="E31" s="331"/>
      <c r="F31" s="323"/>
      <c r="G31" s="323"/>
      <c r="H31" s="323"/>
      <c r="I31" s="324"/>
      <c r="J31" s="324"/>
      <c r="K31" s="431"/>
      <c r="L31" s="432"/>
    </row>
    <row r="32" spans="1:12" ht="18">
      <c r="A32" s="429"/>
      <c r="B32" s="323"/>
      <c r="C32" s="348"/>
      <c r="D32" s="331"/>
      <c r="E32" s="331"/>
      <c r="F32" s="323"/>
      <c r="G32" s="323"/>
      <c r="H32" s="323"/>
      <c r="I32" s="324"/>
      <c r="J32" s="324"/>
      <c r="K32" s="431"/>
      <c r="L32" s="432"/>
    </row>
    <row r="33" spans="1:12" ht="18">
      <c r="A33" s="429"/>
      <c r="B33" s="323"/>
      <c r="C33" s="348"/>
      <c r="D33" s="331"/>
      <c r="E33" s="331"/>
      <c r="F33" s="323"/>
      <c r="G33" s="323"/>
      <c r="H33" s="323"/>
      <c r="I33" s="324"/>
      <c r="J33" s="324"/>
      <c r="K33" s="431"/>
      <c r="L33" s="432"/>
    </row>
    <row r="34" spans="1:12" ht="18">
      <c r="A34" s="429"/>
      <c r="B34" s="323"/>
      <c r="C34" s="348"/>
      <c r="D34" s="331"/>
      <c r="E34" s="430"/>
      <c r="F34" s="323"/>
      <c r="G34" s="323"/>
      <c r="H34" s="323"/>
      <c r="I34" s="324"/>
      <c r="J34" s="324"/>
      <c r="K34" s="431"/>
      <c r="L34" s="432"/>
    </row>
    <row r="35" spans="1:12" ht="18">
      <c r="A35" s="429"/>
      <c r="B35" s="323"/>
      <c r="C35" s="348"/>
      <c r="D35" s="331"/>
      <c r="E35" s="331"/>
      <c r="F35" s="323"/>
      <c r="G35" s="323"/>
      <c r="H35" s="323"/>
      <c r="I35" s="324"/>
      <c r="J35" s="324"/>
      <c r="K35" s="431"/>
      <c r="L35" s="432"/>
    </row>
    <row r="36" spans="1:12" ht="18">
      <c r="A36" s="429"/>
      <c r="B36" s="323"/>
      <c r="C36" s="348"/>
      <c r="D36" s="331"/>
      <c r="E36" s="331"/>
      <c r="F36" s="323"/>
      <c r="G36" s="323"/>
      <c r="H36" s="323"/>
      <c r="I36" s="324"/>
      <c r="J36" s="324"/>
      <c r="K36" s="431"/>
      <c r="L36" s="432"/>
    </row>
    <row r="37" spans="1:12" ht="18">
      <c r="A37" s="429"/>
      <c r="B37" s="323"/>
      <c r="C37" s="348"/>
      <c r="D37" s="331"/>
      <c r="E37" s="331"/>
      <c r="F37" s="323"/>
      <c r="G37" s="323"/>
      <c r="H37" s="323"/>
      <c r="I37" s="324"/>
      <c r="J37" s="324"/>
      <c r="K37" s="431"/>
      <c r="L37" s="432"/>
    </row>
    <row r="38" spans="1:12" ht="18">
      <c r="A38" s="429"/>
      <c r="B38" s="323"/>
      <c r="C38" s="348"/>
      <c r="D38" s="331"/>
      <c r="E38" s="430"/>
      <c r="F38" s="323"/>
      <c r="G38" s="323"/>
      <c r="H38" s="323"/>
      <c r="I38" s="324"/>
      <c r="J38" s="324"/>
      <c r="K38" s="431"/>
      <c r="L38" s="432"/>
    </row>
    <row r="39" spans="1:12" ht="18">
      <c r="A39" s="433"/>
      <c r="B39" s="323"/>
      <c r="C39" s="348"/>
      <c r="D39" s="331"/>
      <c r="E39" s="331"/>
      <c r="F39" s="323"/>
      <c r="G39" s="323"/>
      <c r="H39" s="323"/>
      <c r="I39" s="324"/>
      <c r="J39" s="324"/>
      <c r="K39" s="431"/>
      <c r="L39" s="432"/>
    </row>
    <row r="40" spans="1:12" ht="18">
      <c r="A40" s="429"/>
      <c r="B40" s="323"/>
      <c r="C40" s="348"/>
      <c r="D40" s="331"/>
      <c r="E40" s="331"/>
      <c r="F40" s="323"/>
      <c r="G40" s="323"/>
      <c r="H40" s="323"/>
      <c r="I40" s="324"/>
      <c r="J40" s="324"/>
      <c r="K40" s="431"/>
      <c r="L40" s="432"/>
    </row>
    <row r="41" spans="1:12" ht="18">
      <c r="A41" s="429"/>
      <c r="B41" s="323"/>
      <c r="C41" s="348"/>
      <c r="D41" s="331"/>
      <c r="E41" s="331"/>
      <c r="F41" s="323"/>
      <c r="G41" s="323"/>
      <c r="H41" s="323"/>
      <c r="I41" s="324"/>
      <c r="J41" s="324"/>
      <c r="K41" s="431"/>
      <c r="L41" s="432"/>
    </row>
    <row r="42" spans="1:12">
      <c r="A42" s="434"/>
      <c r="B42" s="435"/>
      <c r="C42" s="348"/>
      <c r="D42" s="436"/>
      <c r="E42" s="436"/>
      <c r="F42" s="323"/>
      <c r="G42" s="323"/>
      <c r="H42" s="323"/>
      <c r="I42" s="437"/>
      <c r="J42" s="437"/>
      <c r="K42" s="431"/>
      <c r="L42" s="438"/>
    </row>
    <row r="43" spans="1:12">
      <c r="A43" s="328"/>
      <c r="B43" s="331"/>
      <c r="C43" s="348"/>
      <c r="D43" s="331"/>
      <c r="E43" s="331"/>
      <c r="F43" s="324"/>
      <c r="G43" s="324"/>
      <c r="H43" s="324"/>
      <c r="I43" s="324"/>
      <c r="J43" s="324"/>
      <c r="K43" s="431"/>
    </row>
    <row r="44" spans="1:12">
      <c r="A44" s="434"/>
      <c r="B44" s="439"/>
      <c r="C44" s="348"/>
      <c r="D44" s="331"/>
      <c r="E44" s="331"/>
      <c r="F44" s="439"/>
      <c r="G44" s="439"/>
      <c r="H44" s="439"/>
      <c r="I44" s="324"/>
      <c r="J44" s="324"/>
      <c r="K44" s="431"/>
    </row>
    <row r="45" spans="1:12">
      <c r="A45" s="440"/>
      <c r="B45" s="439"/>
      <c r="C45" s="348"/>
      <c r="D45" s="331"/>
      <c r="E45" s="331"/>
      <c r="F45" s="439"/>
      <c r="G45" s="439"/>
      <c r="H45" s="439"/>
      <c r="I45" s="324"/>
      <c r="J45" s="324"/>
      <c r="K45" s="431"/>
    </row>
    <row r="46" spans="1:12">
      <c r="A46" s="440"/>
      <c r="B46" s="439"/>
      <c r="C46" s="348"/>
      <c r="D46" s="331"/>
      <c r="E46" s="331"/>
      <c r="F46" s="439"/>
      <c r="G46" s="439"/>
      <c r="H46" s="439"/>
      <c r="I46" s="324"/>
      <c r="J46" s="324"/>
      <c r="K46" s="431"/>
    </row>
    <row r="47" spans="1:12" ht="17.45">
      <c r="A47" s="434"/>
      <c r="B47" s="323"/>
      <c r="C47" s="348"/>
      <c r="D47" s="332"/>
      <c r="E47" s="332"/>
      <c r="F47" s="323"/>
      <c r="G47" s="323"/>
      <c r="H47" s="323"/>
      <c r="I47" s="325"/>
      <c r="J47" s="325"/>
      <c r="K47" s="431"/>
      <c r="L47" s="441"/>
    </row>
    <row r="48" spans="1:12">
      <c r="A48" s="434"/>
      <c r="B48" s="323"/>
      <c r="C48" s="348"/>
      <c r="D48" s="331"/>
      <c r="E48" s="331"/>
      <c r="F48" s="323"/>
      <c r="G48" s="323"/>
      <c r="H48" s="323"/>
      <c r="I48" s="324"/>
      <c r="J48" s="324"/>
      <c r="K48" s="431"/>
      <c r="L48" s="442"/>
    </row>
    <row r="49" spans="1:12">
      <c r="A49" s="434"/>
      <c r="B49" s="323"/>
      <c r="C49" s="348"/>
      <c r="D49" s="331"/>
      <c r="E49" s="331"/>
      <c r="F49" s="323"/>
      <c r="G49" s="323"/>
      <c r="H49" s="323"/>
      <c r="I49" s="324"/>
      <c r="J49" s="324"/>
      <c r="K49" s="431"/>
    </row>
    <row r="50" spans="1:12">
      <c r="A50" s="434"/>
      <c r="B50" s="323"/>
      <c r="C50" s="348"/>
      <c r="D50" s="331"/>
      <c r="E50" s="331"/>
      <c r="F50" s="323"/>
      <c r="G50" s="323"/>
      <c r="H50" s="323"/>
      <c r="I50" s="324"/>
      <c r="J50" s="324"/>
      <c r="K50" s="431"/>
    </row>
    <row r="51" spans="1:12" ht="17.45">
      <c r="A51" s="434"/>
      <c r="B51" s="323"/>
      <c r="C51" s="348"/>
      <c r="D51" s="332"/>
      <c r="E51" s="332"/>
      <c r="F51" s="323"/>
      <c r="G51" s="323"/>
      <c r="H51" s="323"/>
      <c r="I51" s="325"/>
      <c r="J51" s="325"/>
      <c r="K51" s="431"/>
    </row>
    <row r="52" spans="1:12">
      <c r="A52" s="434"/>
      <c r="B52" s="323"/>
      <c r="C52" s="348"/>
      <c r="D52" s="331"/>
      <c r="E52" s="331"/>
      <c r="F52" s="323"/>
      <c r="G52" s="323"/>
      <c r="H52" s="323"/>
      <c r="I52" s="324"/>
      <c r="J52" s="324"/>
      <c r="K52" s="431"/>
    </row>
    <row r="53" spans="1:12">
      <c r="A53" s="434"/>
      <c r="B53" s="323"/>
      <c r="C53" s="348"/>
      <c r="D53" s="331"/>
      <c r="E53" s="331"/>
      <c r="F53" s="323"/>
      <c r="G53" s="323"/>
      <c r="H53" s="323"/>
      <c r="I53" s="324"/>
      <c r="J53" s="324"/>
      <c r="K53" s="431"/>
    </row>
    <row r="54" spans="1:12">
      <c r="A54" s="434"/>
      <c r="B54" s="323"/>
      <c r="C54" s="348"/>
      <c r="D54" s="331"/>
      <c r="E54" s="331"/>
      <c r="F54" s="439"/>
      <c r="G54" s="439"/>
      <c r="H54" s="323"/>
      <c r="I54" s="324"/>
      <c r="J54" s="324"/>
      <c r="K54" s="431"/>
    </row>
    <row r="55" spans="1:12" ht="17.45">
      <c r="A55" s="328"/>
      <c r="C55" s="348"/>
      <c r="D55" s="332"/>
      <c r="E55" s="443"/>
      <c r="F55" s="444"/>
      <c r="G55" s="444"/>
      <c r="H55" s="439"/>
      <c r="I55" s="325"/>
      <c r="J55" s="325"/>
      <c r="K55" s="431"/>
    </row>
    <row r="56" spans="1:12">
      <c r="A56" s="328"/>
      <c r="C56" s="348"/>
      <c r="D56" s="331"/>
      <c r="E56" s="331"/>
      <c r="I56" s="324"/>
      <c r="J56" s="324"/>
      <c r="K56" s="431"/>
    </row>
    <row r="57" spans="1:12">
      <c r="A57" s="328"/>
      <c r="C57" s="348"/>
      <c r="D57" s="331"/>
      <c r="E57" s="331"/>
      <c r="I57" s="324"/>
      <c r="J57" s="324"/>
      <c r="K57" s="431"/>
    </row>
    <row r="58" spans="1:12">
      <c r="A58" s="445"/>
      <c r="B58" s="356"/>
      <c r="C58" s="348"/>
      <c r="D58" s="331"/>
      <c r="E58" s="331"/>
      <c r="F58" s="356"/>
      <c r="G58" s="356"/>
      <c r="H58" s="356"/>
      <c r="I58" s="324"/>
      <c r="J58" s="324"/>
      <c r="K58" s="431"/>
    </row>
    <row r="59" spans="1:12">
      <c r="A59" s="446"/>
      <c r="B59" s="356"/>
      <c r="C59" s="348"/>
      <c r="D59" s="331"/>
      <c r="E59" s="331"/>
      <c r="F59" s="356"/>
      <c r="G59" s="356"/>
      <c r="H59" s="356"/>
      <c r="I59" s="324"/>
      <c r="J59" s="324"/>
      <c r="K59" s="431"/>
    </row>
    <row r="60" spans="1:12" ht="17.45">
      <c r="A60" s="434"/>
      <c r="B60" s="447"/>
      <c r="C60" s="348"/>
      <c r="D60" s="448"/>
      <c r="E60" s="332"/>
      <c r="F60" s="447"/>
      <c r="G60" s="447"/>
      <c r="H60" s="447"/>
      <c r="I60" s="325"/>
      <c r="J60" s="325"/>
      <c r="K60" s="431"/>
    </row>
    <row r="61" spans="1:12">
      <c r="A61" s="434"/>
      <c r="B61" s="447"/>
      <c r="C61" s="348"/>
      <c r="D61" s="331"/>
      <c r="E61" s="331"/>
      <c r="F61" s="447"/>
      <c r="G61" s="447"/>
      <c r="H61" s="447"/>
      <c r="I61" s="324"/>
      <c r="J61" s="324"/>
      <c r="K61" s="431"/>
    </row>
    <row r="62" spans="1:12">
      <c r="A62" s="434"/>
      <c r="B62" s="447"/>
      <c r="C62" s="348"/>
      <c r="D62" s="331"/>
      <c r="E62" s="331"/>
      <c r="F62" s="447"/>
      <c r="G62" s="447"/>
      <c r="H62" s="447"/>
      <c r="I62" s="324"/>
      <c r="J62" s="324"/>
      <c r="K62" s="431"/>
    </row>
    <row r="63" spans="1:12">
      <c r="A63" s="434"/>
      <c r="B63" s="447"/>
      <c r="C63" s="348"/>
      <c r="D63" s="331"/>
      <c r="E63" s="331"/>
      <c r="F63" s="447"/>
      <c r="G63" s="447"/>
      <c r="H63" s="447"/>
      <c r="I63" s="324"/>
      <c r="J63" s="324"/>
      <c r="K63" s="431"/>
    </row>
    <row r="64" spans="1:12" ht="17.45">
      <c r="A64" s="434"/>
      <c r="B64" s="356"/>
      <c r="C64" s="348"/>
      <c r="D64" s="331"/>
      <c r="E64" s="332"/>
      <c r="F64" s="356"/>
      <c r="G64" s="356"/>
      <c r="H64" s="356"/>
      <c r="I64" s="325"/>
      <c r="J64" s="325"/>
      <c r="K64" s="431"/>
      <c r="L64" s="449"/>
    </row>
    <row r="65" spans="1:12">
      <c r="A65" s="434"/>
      <c r="B65" s="356"/>
      <c r="C65" s="348"/>
      <c r="D65" s="331"/>
      <c r="E65" s="331"/>
      <c r="F65" s="356"/>
      <c r="G65" s="356"/>
      <c r="H65" s="356"/>
      <c r="I65" s="324"/>
      <c r="J65" s="324"/>
      <c r="K65" s="431"/>
    </row>
    <row r="66" spans="1:12">
      <c r="A66" s="434"/>
      <c r="B66" s="356"/>
      <c r="C66" s="348"/>
      <c r="D66" s="331"/>
      <c r="E66" s="331"/>
      <c r="F66" s="356"/>
      <c r="G66" s="356"/>
      <c r="H66" s="356"/>
      <c r="I66" s="324"/>
      <c r="J66" s="324"/>
      <c r="K66" s="431"/>
    </row>
    <row r="67" spans="1:12">
      <c r="A67" s="440"/>
      <c r="B67" s="356"/>
      <c r="C67" s="348"/>
      <c r="D67" s="331"/>
      <c r="E67" s="331"/>
      <c r="F67" s="356"/>
      <c r="G67" s="356"/>
      <c r="H67" s="356"/>
      <c r="I67" s="324"/>
      <c r="J67" s="324"/>
      <c r="K67" s="431"/>
    </row>
    <row r="68" spans="1:12">
      <c r="A68" s="440"/>
      <c r="B68" s="356"/>
      <c r="C68" s="348"/>
      <c r="D68" s="331"/>
      <c r="E68" s="331"/>
      <c r="F68" s="356"/>
      <c r="G68" s="356"/>
      <c r="H68" s="356"/>
      <c r="I68" s="324"/>
      <c r="J68" s="324"/>
      <c r="K68" s="431"/>
    </row>
    <row r="69" spans="1:12" ht="17.45">
      <c r="A69" s="434"/>
      <c r="B69" s="447"/>
      <c r="C69" s="348"/>
      <c r="D69" s="332"/>
      <c r="E69" s="450"/>
      <c r="F69" s="447"/>
      <c r="G69" s="447"/>
      <c r="H69" s="447"/>
      <c r="I69" s="325"/>
      <c r="J69" s="325"/>
      <c r="K69" s="431"/>
      <c r="L69" s="449"/>
    </row>
    <row r="70" spans="1:12">
      <c r="A70" s="440"/>
      <c r="B70" s="356"/>
      <c r="C70" s="348"/>
      <c r="D70" s="331"/>
      <c r="E70" s="331"/>
      <c r="F70" s="356"/>
      <c r="G70" s="356"/>
      <c r="H70" s="356"/>
      <c r="I70" s="324"/>
      <c r="J70" s="324"/>
      <c r="K70" s="431"/>
    </row>
    <row r="71" spans="1:12">
      <c r="A71" s="434"/>
      <c r="B71" s="356"/>
      <c r="C71" s="348"/>
      <c r="D71" s="331"/>
      <c r="E71" s="331"/>
      <c r="F71" s="356"/>
      <c r="G71" s="356"/>
      <c r="H71" s="356"/>
      <c r="I71" s="324"/>
      <c r="J71" s="324"/>
      <c r="K71" s="431"/>
    </row>
    <row r="72" spans="1:12">
      <c r="A72" s="451"/>
      <c r="B72" s="356"/>
      <c r="C72" s="348"/>
      <c r="D72" s="331"/>
      <c r="E72" s="331"/>
      <c r="F72" s="356"/>
      <c r="G72" s="356"/>
      <c r="H72" s="356"/>
      <c r="I72" s="324"/>
      <c r="J72" s="324"/>
      <c r="K72" s="431"/>
    </row>
    <row r="73" spans="1:12">
      <c r="A73" s="440"/>
      <c r="B73" s="356"/>
      <c r="C73" s="348"/>
      <c r="D73" s="331"/>
      <c r="E73" s="331"/>
      <c r="F73" s="356"/>
      <c r="G73" s="356"/>
      <c r="H73" s="356"/>
      <c r="I73" s="324"/>
      <c r="J73" s="324"/>
      <c r="K73" s="431"/>
    </row>
    <row r="74" spans="1:12" ht="17.45">
      <c r="A74" s="452"/>
      <c r="B74" s="447"/>
      <c r="C74" s="348"/>
      <c r="D74" s="447"/>
      <c r="E74" s="450"/>
      <c r="F74" s="447"/>
      <c r="G74" s="447"/>
      <c r="H74" s="447"/>
      <c r="I74" s="325"/>
      <c r="J74" s="325"/>
      <c r="K74" s="431"/>
      <c r="L74" s="449"/>
    </row>
    <row r="75" spans="1:12">
      <c r="A75" s="451"/>
      <c r="B75" s="356"/>
      <c r="C75" s="348"/>
      <c r="D75" s="331"/>
      <c r="E75" s="331"/>
      <c r="F75" s="356"/>
      <c r="G75" s="356"/>
      <c r="H75" s="356"/>
      <c r="I75" s="324"/>
      <c r="J75" s="324"/>
      <c r="K75" s="431"/>
    </row>
    <row r="76" spans="1:12">
      <c r="A76" s="434"/>
      <c r="B76" s="356"/>
      <c r="C76" s="348"/>
      <c r="D76" s="331"/>
      <c r="E76" s="331"/>
      <c r="F76" s="356"/>
      <c r="G76" s="356"/>
      <c r="H76" s="356"/>
      <c r="I76" s="324"/>
      <c r="J76" s="324"/>
      <c r="K76" s="431"/>
    </row>
    <row r="77" spans="1:12">
      <c r="A77" s="440"/>
      <c r="B77" s="356"/>
      <c r="C77" s="348"/>
      <c r="D77" s="331"/>
      <c r="E77" s="331"/>
      <c r="F77" s="356"/>
      <c r="G77" s="356"/>
      <c r="H77" s="356"/>
      <c r="I77" s="324"/>
      <c r="J77" s="324"/>
      <c r="K77" s="431"/>
    </row>
    <row r="78" spans="1:12">
      <c r="A78" s="440"/>
      <c r="B78" s="356"/>
      <c r="C78" s="348"/>
      <c r="D78" s="331"/>
      <c r="E78" s="331"/>
      <c r="F78" s="356"/>
      <c r="G78" s="356"/>
      <c r="H78" s="356"/>
      <c r="I78" s="324"/>
      <c r="J78" s="324"/>
      <c r="K78" s="431"/>
    </row>
    <row r="79" spans="1:12">
      <c r="A79" s="440"/>
      <c r="B79" s="356"/>
      <c r="C79" s="348"/>
      <c r="D79" s="331"/>
      <c r="E79" s="331"/>
      <c r="F79" s="356"/>
      <c r="G79" s="356"/>
      <c r="H79" s="356"/>
      <c r="I79" s="324"/>
      <c r="J79" s="324"/>
      <c r="K79" s="431"/>
    </row>
    <row r="80" spans="1:12" ht="17.45">
      <c r="A80" s="434"/>
      <c r="B80" s="447"/>
      <c r="C80" s="348"/>
      <c r="D80" s="332"/>
      <c r="E80" s="450"/>
      <c r="F80" s="447"/>
      <c r="G80" s="447"/>
      <c r="H80" s="447"/>
      <c r="I80" s="325"/>
      <c r="J80" s="325"/>
      <c r="K80" s="431"/>
      <c r="L80" s="449"/>
    </row>
    <row r="81" spans="1:12">
      <c r="A81" s="434"/>
      <c r="B81" s="356"/>
      <c r="C81" s="348"/>
      <c r="D81" s="331"/>
      <c r="E81" s="331"/>
      <c r="F81" s="356"/>
      <c r="G81" s="356"/>
      <c r="H81" s="356"/>
      <c r="I81" s="324"/>
      <c r="J81" s="324"/>
      <c r="K81" s="431"/>
    </row>
    <row r="82" spans="1:12">
      <c r="A82" s="434"/>
      <c r="B82" s="356"/>
      <c r="C82" s="348"/>
      <c r="D82" s="331"/>
      <c r="E82" s="331"/>
      <c r="F82" s="356"/>
      <c r="G82" s="356"/>
      <c r="H82" s="356"/>
      <c r="I82" s="324"/>
      <c r="J82" s="324"/>
      <c r="K82" s="431"/>
    </row>
    <row r="83" spans="1:12">
      <c r="A83" s="440"/>
      <c r="B83" s="356"/>
      <c r="C83" s="348"/>
      <c r="D83" s="331"/>
      <c r="E83" s="331"/>
      <c r="F83" s="356"/>
      <c r="G83" s="356"/>
      <c r="H83" s="356"/>
      <c r="I83" s="324"/>
      <c r="J83" s="324"/>
      <c r="K83" s="431"/>
    </row>
    <row r="84" spans="1:12">
      <c r="A84" s="440"/>
      <c r="B84" s="356"/>
      <c r="C84" s="348"/>
      <c r="D84" s="331"/>
      <c r="E84" s="331"/>
      <c r="F84" s="356"/>
      <c r="G84" s="356"/>
      <c r="H84" s="356"/>
      <c r="I84" s="324"/>
      <c r="J84" s="324"/>
      <c r="K84" s="431"/>
    </row>
    <row r="85" spans="1:12" ht="17.45">
      <c r="A85" s="434"/>
      <c r="B85" s="447"/>
      <c r="C85" s="348"/>
      <c r="D85" s="447"/>
      <c r="E85" s="332"/>
      <c r="F85" s="447"/>
      <c r="G85" s="447"/>
      <c r="H85" s="447"/>
      <c r="I85" s="325"/>
      <c r="J85" s="325"/>
      <c r="K85" s="431"/>
      <c r="L85" s="449"/>
    </row>
    <row r="86" spans="1:12">
      <c r="A86" s="426"/>
      <c r="B86" s="356"/>
      <c r="C86" s="348"/>
      <c r="D86" s="331"/>
      <c r="E86" s="331"/>
      <c r="F86" s="356"/>
      <c r="G86" s="356"/>
      <c r="H86" s="356"/>
      <c r="I86" s="324"/>
      <c r="J86" s="324"/>
      <c r="K86" s="431"/>
    </row>
    <row r="87" spans="1:12">
      <c r="A87" s="426"/>
      <c r="B87" s="356"/>
      <c r="C87" s="348"/>
      <c r="D87" s="331"/>
      <c r="E87" s="331"/>
      <c r="F87" s="356"/>
      <c r="G87" s="356"/>
      <c r="H87" s="356"/>
      <c r="I87" s="324"/>
      <c r="J87" s="324"/>
      <c r="K87" s="431"/>
    </row>
    <row r="88" spans="1:12">
      <c r="A88" s="446"/>
      <c r="B88" s="356"/>
      <c r="C88" s="348"/>
      <c r="D88" s="331"/>
      <c r="E88" s="331"/>
      <c r="F88" s="356"/>
      <c r="G88" s="356"/>
      <c r="H88" s="356"/>
      <c r="I88" s="324"/>
      <c r="J88" s="324"/>
      <c r="K88" s="431"/>
    </row>
    <row r="89" spans="1:12">
      <c r="A89" s="440"/>
      <c r="B89" s="356"/>
      <c r="C89" s="348"/>
      <c r="D89" s="331"/>
      <c r="E89" s="331"/>
      <c r="F89" s="356"/>
      <c r="G89" s="356"/>
      <c r="H89" s="356"/>
      <c r="I89" s="324"/>
      <c r="J89" s="324"/>
      <c r="K89" s="431"/>
    </row>
    <row r="90" spans="1:12" ht="17.45">
      <c r="A90" s="426"/>
      <c r="B90" s="447"/>
      <c r="C90" s="348"/>
      <c r="D90" s="332"/>
      <c r="E90" s="450"/>
      <c r="F90" s="447"/>
      <c r="G90" s="447"/>
      <c r="H90" s="447"/>
      <c r="I90" s="325"/>
      <c r="J90" s="325"/>
      <c r="K90" s="431"/>
      <c r="L90" s="449"/>
    </row>
    <row r="91" spans="1:12">
      <c r="A91" s="440"/>
      <c r="B91" s="356"/>
      <c r="C91" s="348"/>
      <c r="D91" s="331"/>
      <c r="E91" s="331"/>
      <c r="F91" s="356"/>
      <c r="G91" s="356"/>
      <c r="H91" s="356"/>
      <c r="I91" s="324"/>
      <c r="J91" s="324"/>
      <c r="K91" s="431"/>
    </row>
    <row r="92" spans="1:12">
      <c r="A92" s="426"/>
      <c r="B92" s="356"/>
      <c r="C92" s="348"/>
      <c r="D92" s="331"/>
      <c r="E92" s="331"/>
      <c r="F92" s="356"/>
      <c r="G92" s="356"/>
      <c r="H92" s="356"/>
      <c r="I92" s="324"/>
      <c r="J92" s="324"/>
      <c r="K92" s="431"/>
    </row>
    <row r="93" spans="1:12">
      <c r="A93" s="446"/>
      <c r="B93" s="356"/>
      <c r="C93" s="348"/>
      <c r="D93" s="331"/>
      <c r="E93" s="331"/>
      <c r="F93" s="356"/>
      <c r="G93" s="356"/>
      <c r="H93" s="356"/>
      <c r="I93" s="324"/>
      <c r="J93" s="324"/>
      <c r="K93" s="431"/>
    </row>
    <row r="94" spans="1:12">
      <c r="A94" s="446"/>
      <c r="B94" s="356"/>
      <c r="C94" s="348"/>
      <c r="D94" s="331"/>
      <c r="E94" s="331"/>
      <c r="F94" s="356"/>
      <c r="G94" s="356"/>
      <c r="H94" s="356"/>
      <c r="I94" s="324"/>
      <c r="J94" s="324"/>
      <c r="K94" s="431"/>
    </row>
    <row r="95" spans="1:12">
      <c r="A95" s="446"/>
      <c r="B95" s="356"/>
      <c r="C95" s="348"/>
      <c r="D95" s="331"/>
      <c r="E95" s="331"/>
      <c r="F95" s="356"/>
      <c r="G95" s="356"/>
      <c r="H95" s="356"/>
      <c r="I95" s="324"/>
      <c r="J95" s="324"/>
      <c r="K95" s="431"/>
      <c r="L95" s="453"/>
    </row>
    <row r="96" spans="1:12" ht="17.45">
      <c r="A96" s="426"/>
      <c r="B96" s="447"/>
      <c r="C96" s="348"/>
      <c r="D96" s="447"/>
      <c r="E96" s="454"/>
      <c r="F96" s="447"/>
      <c r="G96" s="447"/>
      <c r="H96" s="447"/>
      <c r="I96" s="325"/>
      <c r="J96" s="325"/>
      <c r="K96" s="431"/>
      <c r="L96" s="455"/>
    </row>
    <row r="97" spans="1:12">
      <c r="A97" s="434"/>
      <c r="B97" s="356"/>
      <c r="C97" s="348"/>
      <c r="D97" s="331"/>
      <c r="E97" s="331"/>
      <c r="F97" s="356"/>
      <c r="G97" s="356"/>
      <c r="H97" s="356"/>
      <c r="I97" s="324"/>
      <c r="J97" s="324"/>
      <c r="K97" s="431"/>
    </row>
    <row r="98" spans="1:12">
      <c r="A98" s="434"/>
      <c r="B98" s="356"/>
      <c r="C98" s="348"/>
      <c r="D98" s="331"/>
      <c r="E98" s="331"/>
      <c r="F98" s="356"/>
      <c r="G98" s="356"/>
      <c r="H98" s="356"/>
      <c r="I98" s="324"/>
      <c r="J98" s="324"/>
      <c r="K98" s="431"/>
    </row>
    <row r="99" spans="1:12">
      <c r="A99" s="440"/>
      <c r="B99" s="356"/>
      <c r="C99" s="348"/>
      <c r="D99" s="331"/>
      <c r="E99" s="331"/>
      <c r="F99" s="356"/>
      <c r="G99" s="356"/>
      <c r="H99" s="356"/>
      <c r="I99" s="324"/>
      <c r="J99" s="324"/>
      <c r="K99" s="431"/>
    </row>
    <row r="100" spans="1:12" ht="17.45">
      <c r="A100" s="434"/>
      <c r="B100" s="447"/>
      <c r="C100" s="348"/>
      <c r="D100" s="332"/>
      <c r="E100" s="332"/>
      <c r="F100" s="447"/>
      <c r="G100" s="447"/>
      <c r="H100" s="447"/>
      <c r="I100" s="325"/>
      <c r="J100" s="325"/>
      <c r="K100" s="431"/>
      <c r="L100" s="449"/>
    </row>
    <row r="101" spans="1:12">
      <c r="A101" s="434"/>
      <c r="B101" s="356"/>
      <c r="C101" s="348"/>
      <c r="D101" s="331"/>
      <c r="E101" s="331"/>
      <c r="F101" s="356"/>
      <c r="G101" s="356"/>
      <c r="H101" s="356"/>
      <c r="I101" s="324"/>
      <c r="J101" s="324"/>
      <c r="K101" s="431"/>
      <c r="L101" s="449"/>
    </row>
    <row r="102" spans="1:12">
      <c r="A102" s="434"/>
      <c r="B102" s="356"/>
      <c r="C102" s="348"/>
      <c r="D102" s="331"/>
      <c r="E102" s="331"/>
      <c r="F102" s="356"/>
      <c r="G102" s="356"/>
      <c r="H102" s="356"/>
      <c r="I102" s="324"/>
      <c r="J102" s="324"/>
      <c r="K102" s="431"/>
      <c r="L102" s="449"/>
    </row>
    <row r="103" spans="1:12">
      <c r="A103" s="440"/>
      <c r="B103" s="356"/>
      <c r="C103" s="348"/>
      <c r="D103" s="331"/>
      <c r="E103" s="331"/>
      <c r="F103" s="356"/>
      <c r="G103" s="356"/>
      <c r="H103" s="356"/>
      <c r="I103" s="324"/>
      <c r="J103" s="324"/>
      <c r="K103" s="431"/>
      <c r="L103" s="449"/>
    </row>
    <row r="104" spans="1:12">
      <c r="A104" s="440"/>
      <c r="B104" s="356"/>
      <c r="C104" s="348"/>
      <c r="D104" s="331"/>
      <c r="E104" s="331"/>
      <c r="F104" s="356"/>
      <c r="G104" s="356"/>
      <c r="H104" s="356"/>
      <c r="I104" s="324"/>
      <c r="J104" s="324"/>
      <c r="K104" s="431"/>
    </row>
    <row r="105" spans="1:12">
      <c r="A105" s="440"/>
      <c r="B105" s="356"/>
      <c r="C105" s="348"/>
      <c r="D105" s="331"/>
      <c r="E105" s="331"/>
      <c r="F105" s="356"/>
      <c r="G105" s="356"/>
      <c r="H105" s="356"/>
      <c r="I105" s="324"/>
      <c r="J105" s="324"/>
      <c r="K105" s="431"/>
    </row>
    <row r="106" spans="1:12" ht="17.45">
      <c r="A106" s="434"/>
      <c r="B106" s="447"/>
      <c r="C106" s="348"/>
      <c r="D106" s="447"/>
      <c r="E106" s="332"/>
      <c r="F106" s="447"/>
      <c r="G106" s="447"/>
      <c r="H106" s="447"/>
      <c r="I106" s="325"/>
      <c r="J106" s="325"/>
      <c r="K106" s="431"/>
    </row>
    <row r="107" spans="1:12">
      <c r="A107" s="434"/>
      <c r="B107" s="356"/>
      <c r="C107" s="348"/>
      <c r="D107" s="331"/>
      <c r="E107" s="331"/>
      <c r="F107" s="356"/>
      <c r="G107" s="356"/>
      <c r="H107" s="356"/>
      <c r="I107" s="324"/>
      <c r="J107" s="324"/>
      <c r="K107" s="431"/>
    </row>
    <row r="108" spans="1:12">
      <c r="A108" s="434"/>
      <c r="B108" s="356"/>
      <c r="C108" s="348"/>
      <c r="D108" s="331"/>
      <c r="E108" s="331"/>
      <c r="F108" s="356"/>
      <c r="G108" s="356"/>
      <c r="H108" s="356"/>
      <c r="I108" s="324"/>
      <c r="J108" s="324"/>
      <c r="K108" s="431"/>
    </row>
    <row r="109" spans="1:12">
      <c r="A109" s="456"/>
      <c r="B109" s="356"/>
      <c r="C109" s="348"/>
      <c r="D109" s="331"/>
      <c r="E109" s="331"/>
      <c r="F109" s="356"/>
      <c r="G109" s="356"/>
      <c r="H109" s="356"/>
      <c r="I109" s="324"/>
      <c r="J109" s="324"/>
      <c r="K109" s="431"/>
    </row>
    <row r="110" spans="1:12">
      <c r="A110" s="456"/>
      <c r="B110" s="356"/>
      <c r="C110" s="348"/>
      <c r="D110" s="331"/>
      <c r="E110" s="331"/>
      <c r="F110" s="356"/>
      <c r="G110" s="356"/>
      <c r="H110" s="356"/>
      <c r="I110" s="324"/>
      <c r="J110" s="324"/>
      <c r="K110" s="431"/>
    </row>
    <row r="111" spans="1:12">
      <c r="A111" s="457"/>
      <c r="B111" s="356"/>
      <c r="C111" s="348"/>
      <c r="D111" s="331"/>
      <c r="E111" s="331"/>
      <c r="F111" s="356"/>
      <c r="G111" s="356"/>
      <c r="H111" s="356"/>
      <c r="I111" s="324"/>
      <c r="J111" s="324"/>
      <c r="K111" s="431"/>
    </row>
    <row r="112" spans="1:12">
      <c r="A112" s="440"/>
      <c r="B112" s="356"/>
      <c r="C112" s="348"/>
      <c r="D112" s="331"/>
      <c r="E112" s="331"/>
      <c r="F112" s="356"/>
      <c r="G112" s="356"/>
      <c r="H112" s="356"/>
      <c r="I112" s="324"/>
      <c r="J112" s="324"/>
      <c r="K112" s="431"/>
    </row>
    <row r="113" spans="1:11">
      <c r="A113" s="458"/>
      <c r="B113" s="356"/>
      <c r="C113" s="348"/>
      <c r="D113" s="331"/>
      <c r="E113" s="331"/>
      <c r="F113" s="356"/>
      <c r="G113" s="356"/>
      <c r="H113" s="356"/>
      <c r="I113" s="324"/>
      <c r="J113" s="324"/>
      <c r="K113" s="431"/>
    </row>
    <row r="114" spans="1:11">
      <c r="A114" s="458"/>
      <c r="B114" s="356"/>
      <c r="C114" s="348"/>
      <c r="D114" s="331"/>
      <c r="E114" s="331"/>
      <c r="F114" s="356"/>
      <c r="G114" s="356"/>
      <c r="H114" s="356"/>
      <c r="I114" s="324"/>
      <c r="J114" s="324"/>
      <c r="K114" s="431"/>
    </row>
    <row r="115" spans="1:11">
      <c r="A115" s="458"/>
      <c r="B115" s="356"/>
      <c r="C115" s="348"/>
      <c r="D115" s="331"/>
      <c r="E115" s="331"/>
      <c r="F115" s="356"/>
      <c r="G115" s="356"/>
      <c r="H115" s="356"/>
      <c r="I115" s="324"/>
      <c r="J115" s="324"/>
      <c r="K115" s="431"/>
    </row>
    <row r="116" spans="1:11">
      <c r="A116" s="458"/>
      <c r="B116" s="356"/>
      <c r="C116" s="348"/>
      <c r="D116" s="331"/>
      <c r="E116" s="331"/>
      <c r="F116" s="356"/>
      <c r="G116" s="356"/>
      <c r="H116" s="356"/>
      <c r="I116" s="324"/>
      <c r="J116" s="324"/>
      <c r="K116" s="431"/>
    </row>
    <row r="117" spans="1:11" ht="17.45">
      <c r="A117" s="322"/>
      <c r="B117" s="447"/>
      <c r="C117" s="348"/>
      <c r="D117" s="459"/>
      <c r="E117" s="332"/>
      <c r="F117" s="447"/>
      <c r="G117" s="447"/>
      <c r="H117" s="447"/>
      <c r="I117" s="325"/>
      <c r="J117" s="325"/>
      <c r="K117" s="431"/>
    </row>
    <row r="118" spans="1:11">
      <c r="A118" s="434"/>
      <c r="B118" s="356"/>
      <c r="C118" s="348"/>
      <c r="D118" s="331"/>
      <c r="E118" s="331"/>
      <c r="F118" s="356"/>
      <c r="G118" s="356"/>
      <c r="H118" s="356"/>
      <c r="I118" s="324"/>
      <c r="J118" s="324"/>
      <c r="K118" s="431"/>
    </row>
    <row r="119" spans="1:11">
      <c r="A119" s="434"/>
      <c r="B119" s="356"/>
      <c r="C119" s="348"/>
      <c r="D119" s="331"/>
      <c r="E119" s="331"/>
      <c r="F119" s="356"/>
      <c r="G119" s="356"/>
      <c r="H119" s="356"/>
      <c r="I119" s="324"/>
      <c r="J119" s="324"/>
      <c r="K119" s="431"/>
    </row>
    <row r="120" spans="1:11">
      <c r="A120" s="440"/>
      <c r="B120" s="356"/>
      <c r="C120" s="348"/>
      <c r="D120" s="331"/>
      <c r="E120" s="331"/>
      <c r="F120" s="356"/>
      <c r="G120" s="356"/>
      <c r="H120" s="356"/>
      <c r="I120" s="324"/>
      <c r="J120" s="324"/>
      <c r="K120" s="431"/>
    </row>
    <row r="121" spans="1:11">
      <c r="A121" s="440"/>
      <c r="B121" s="356"/>
      <c r="C121" s="348"/>
      <c r="D121" s="331"/>
      <c r="E121" s="331"/>
      <c r="F121" s="356"/>
      <c r="G121" s="356"/>
      <c r="H121" s="356"/>
      <c r="I121" s="324"/>
      <c r="J121" s="324"/>
      <c r="K121" s="431"/>
    </row>
    <row r="122" spans="1:11">
      <c r="A122" s="440"/>
      <c r="B122" s="356"/>
      <c r="C122" s="348"/>
      <c r="D122" s="331"/>
      <c r="E122" s="331"/>
      <c r="F122" s="356"/>
      <c r="G122" s="356"/>
      <c r="H122" s="356"/>
      <c r="I122" s="324"/>
      <c r="J122" s="324"/>
      <c r="K122" s="431"/>
    </row>
    <row r="123" spans="1:11">
      <c r="A123" s="440"/>
      <c r="B123" s="356"/>
      <c r="C123" s="348"/>
      <c r="D123" s="331"/>
      <c r="E123" s="331"/>
      <c r="F123" s="356"/>
      <c r="G123" s="356"/>
      <c r="H123" s="356"/>
      <c r="I123" s="324"/>
      <c r="J123" s="324"/>
      <c r="K123" s="431"/>
    </row>
    <row r="124" spans="1:11">
      <c r="A124" s="440"/>
      <c r="B124" s="356"/>
      <c r="C124" s="348"/>
      <c r="D124" s="331"/>
      <c r="E124" s="331"/>
      <c r="F124" s="356"/>
      <c r="G124" s="356"/>
      <c r="H124" s="356"/>
      <c r="I124" s="324"/>
      <c r="J124" s="324"/>
      <c r="K124" s="431"/>
    </row>
    <row r="125" spans="1:11">
      <c r="A125" s="440"/>
      <c r="B125" s="356"/>
      <c r="C125" s="348"/>
      <c r="D125" s="331"/>
      <c r="E125" s="331"/>
      <c r="F125" s="356"/>
      <c r="G125" s="356"/>
      <c r="H125" s="356"/>
      <c r="I125" s="324"/>
      <c r="J125" s="324"/>
      <c r="K125" s="431"/>
    </row>
    <row r="126" spans="1:11">
      <c r="A126" s="440"/>
      <c r="B126" s="356"/>
      <c r="C126" s="348"/>
      <c r="D126" s="331"/>
      <c r="E126" s="331"/>
      <c r="F126" s="356"/>
      <c r="G126" s="356"/>
      <c r="H126" s="356"/>
      <c r="I126" s="324"/>
      <c r="J126" s="324"/>
      <c r="K126" s="431"/>
    </row>
    <row r="127" spans="1:11">
      <c r="A127" s="440"/>
      <c r="B127" s="356"/>
      <c r="C127" s="348"/>
      <c r="D127" s="331"/>
      <c r="E127" s="331"/>
      <c r="F127" s="356"/>
      <c r="G127" s="356"/>
      <c r="H127" s="356"/>
      <c r="I127" s="324"/>
      <c r="J127" s="324"/>
      <c r="K127" s="431"/>
    </row>
    <row r="128" spans="1:11">
      <c r="A128" s="440"/>
      <c r="B128" s="356"/>
      <c r="C128" s="348"/>
      <c r="D128" s="331"/>
      <c r="E128" s="331"/>
      <c r="F128" s="356"/>
      <c r="G128" s="356"/>
      <c r="H128" s="356"/>
      <c r="I128" s="324"/>
      <c r="J128" s="324"/>
      <c r="K128" s="431"/>
    </row>
    <row r="129" spans="1:11" ht="17.45">
      <c r="A129" s="434"/>
      <c r="B129" s="460"/>
      <c r="C129" s="348"/>
      <c r="D129" s="460"/>
      <c r="E129" s="332"/>
      <c r="F129" s="326"/>
      <c r="G129" s="326"/>
      <c r="H129" s="326"/>
      <c r="I129" s="325"/>
      <c r="J129" s="325"/>
      <c r="K129" s="431"/>
    </row>
    <row r="130" spans="1:11">
      <c r="A130" s="434"/>
      <c r="B130" s="356"/>
      <c r="C130" s="348"/>
      <c r="D130" s="331"/>
      <c r="E130" s="331"/>
      <c r="F130" s="356"/>
      <c r="G130" s="356"/>
      <c r="H130" s="356"/>
      <c r="I130" s="324"/>
      <c r="J130" s="324"/>
      <c r="K130" s="431"/>
    </row>
    <row r="131" spans="1:11">
      <c r="A131" s="415"/>
      <c r="B131" s="356"/>
      <c r="C131" s="348"/>
      <c r="D131" s="331"/>
      <c r="E131" s="331"/>
      <c r="F131" s="356"/>
      <c r="G131" s="356"/>
      <c r="H131" s="356"/>
      <c r="I131" s="324"/>
      <c r="J131" s="324"/>
      <c r="K131" s="431"/>
    </row>
    <row r="132" spans="1:11">
      <c r="A132" s="461"/>
      <c r="B132" s="356"/>
      <c r="C132" s="348"/>
      <c r="D132" s="331"/>
      <c r="E132" s="331"/>
      <c r="F132" s="356"/>
      <c r="G132" s="356"/>
      <c r="H132" s="356"/>
      <c r="I132" s="324"/>
      <c r="J132" s="324"/>
      <c r="K132" s="431"/>
    </row>
    <row r="133" spans="1:11">
      <c r="A133" s="462"/>
      <c r="B133" s="356"/>
      <c r="C133" s="348"/>
      <c r="D133" s="331"/>
      <c r="E133" s="331"/>
      <c r="F133" s="356"/>
      <c r="G133" s="356"/>
      <c r="H133" s="356"/>
      <c r="I133" s="324"/>
      <c r="J133" s="324"/>
      <c r="K133" s="431"/>
    </row>
    <row r="134" spans="1:11">
      <c r="A134" s="463"/>
      <c r="B134" s="356"/>
      <c r="C134" s="348"/>
      <c r="D134" s="331"/>
      <c r="E134" s="331"/>
      <c r="F134" s="356"/>
      <c r="G134" s="356"/>
      <c r="H134" s="356"/>
      <c r="I134" s="324"/>
      <c r="J134" s="324"/>
      <c r="K134" s="431"/>
    </row>
    <row r="135" spans="1:11">
      <c r="A135" s="451"/>
      <c r="B135" s="356"/>
      <c r="C135" s="348"/>
      <c r="D135" s="331"/>
      <c r="E135" s="331"/>
      <c r="F135" s="356"/>
      <c r="G135" s="356"/>
      <c r="H135" s="356"/>
      <c r="I135" s="324"/>
      <c r="J135" s="324"/>
      <c r="K135" s="431"/>
    </row>
    <row r="136" spans="1:11">
      <c r="A136" s="464"/>
      <c r="B136" s="356"/>
      <c r="C136" s="348"/>
      <c r="D136" s="331"/>
      <c r="E136" s="331"/>
      <c r="F136" s="356"/>
      <c r="G136" s="356"/>
      <c r="H136" s="356"/>
      <c r="I136" s="324"/>
      <c r="J136" s="324"/>
      <c r="K136" s="431"/>
    </row>
    <row r="137" spans="1:11">
      <c r="B137" s="356"/>
      <c r="C137" s="348"/>
      <c r="D137" s="331"/>
      <c r="E137" s="331"/>
      <c r="F137" s="356"/>
      <c r="G137" s="356"/>
      <c r="H137" s="356"/>
      <c r="I137" s="324"/>
      <c r="J137" s="324"/>
      <c r="K137" s="431"/>
    </row>
    <row r="138" spans="1:11">
      <c r="A138" s="458"/>
      <c r="B138" s="356"/>
      <c r="C138" s="348"/>
      <c r="D138" s="331"/>
      <c r="E138" s="331"/>
      <c r="F138" s="356"/>
      <c r="G138" s="356"/>
      <c r="H138" s="356"/>
      <c r="I138" s="324"/>
      <c r="J138" s="324"/>
      <c r="K138" s="431"/>
    </row>
    <row r="139" spans="1:11">
      <c r="A139" s="440"/>
      <c r="B139" s="356"/>
      <c r="C139" s="348"/>
      <c r="D139" s="331"/>
      <c r="E139" s="331"/>
      <c r="F139" s="356"/>
      <c r="G139" s="356"/>
      <c r="H139" s="356"/>
      <c r="I139" s="324"/>
      <c r="J139" s="324"/>
      <c r="K139" s="431"/>
    </row>
    <row r="140" spans="1:11">
      <c r="A140" s="440"/>
      <c r="B140" s="356"/>
      <c r="C140" s="348"/>
      <c r="D140" s="331"/>
      <c r="E140" s="331"/>
      <c r="F140" s="356"/>
      <c r="G140" s="356"/>
      <c r="H140" s="356"/>
      <c r="I140" s="324"/>
      <c r="J140" s="324"/>
      <c r="K140" s="431"/>
    </row>
    <row r="141" spans="1:11">
      <c r="A141" s="440"/>
      <c r="B141" s="356"/>
      <c r="C141" s="348"/>
      <c r="D141" s="331"/>
      <c r="E141" s="331"/>
      <c r="F141" s="356"/>
      <c r="G141" s="356"/>
      <c r="H141" s="356"/>
      <c r="I141" s="324"/>
      <c r="J141" s="324"/>
      <c r="K141" s="431"/>
    </row>
    <row r="142" spans="1:11">
      <c r="A142" s="440"/>
      <c r="B142" s="356"/>
      <c r="C142" s="348"/>
      <c r="D142" s="331"/>
      <c r="E142" s="331"/>
      <c r="F142" s="356"/>
      <c r="G142" s="356"/>
      <c r="H142" s="356"/>
      <c r="I142" s="324"/>
      <c r="J142" s="324"/>
      <c r="K142" s="431"/>
    </row>
    <row r="143" spans="1:11">
      <c r="B143" s="356"/>
      <c r="C143" s="348"/>
      <c r="D143" s="331"/>
      <c r="E143" s="331"/>
      <c r="F143" s="356"/>
      <c r="G143" s="356"/>
      <c r="H143" s="356"/>
      <c r="I143" s="324"/>
      <c r="J143" s="324"/>
      <c r="K143" s="431"/>
    </row>
    <row r="144" spans="1:11">
      <c r="A144" s="440"/>
      <c r="B144" s="356"/>
      <c r="C144" s="348"/>
      <c r="D144" s="331"/>
      <c r="E144" s="331"/>
      <c r="F144" s="356"/>
      <c r="G144" s="356"/>
      <c r="H144" s="356"/>
      <c r="I144" s="324"/>
      <c r="J144" s="324"/>
      <c r="K144" s="431"/>
    </row>
    <row r="145" spans="1:13" ht="17.45">
      <c r="A145" s="322"/>
      <c r="B145" s="447"/>
      <c r="C145" s="348"/>
      <c r="D145" s="465"/>
      <c r="E145" s="465"/>
      <c r="F145" s="447"/>
      <c r="G145" s="447"/>
      <c r="H145" s="447"/>
      <c r="I145" s="325"/>
      <c r="J145" s="325"/>
      <c r="K145" s="431"/>
      <c r="L145" s="449"/>
    </row>
    <row r="146" spans="1:13">
      <c r="B146" s="356"/>
      <c r="C146" s="348"/>
      <c r="D146" s="331"/>
      <c r="E146" s="331"/>
      <c r="F146" s="356"/>
      <c r="G146" s="356"/>
      <c r="H146" s="356"/>
      <c r="I146" s="324"/>
      <c r="J146" s="324"/>
      <c r="K146" s="431"/>
    </row>
    <row r="147" spans="1:13">
      <c r="A147" s="415"/>
      <c r="B147" s="356"/>
      <c r="C147" s="348"/>
      <c r="D147" s="331"/>
      <c r="E147" s="331"/>
      <c r="F147" s="356"/>
      <c r="G147" s="356"/>
      <c r="H147" s="356"/>
      <c r="I147" s="324"/>
      <c r="J147" s="324"/>
      <c r="K147" s="431"/>
    </row>
    <row r="148" spans="1:13">
      <c r="A148" s="456"/>
      <c r="B148" s="356"/>
      <c r="C148" s="348"/>
      <c r="D148" s="331"/>
      <c r="E148" s="331"/>
      <c r="F148" s="356"/>
      <c r="G148" s="356"/>
      <c r="H148" s="356"/>
      <c r="I148" s="324"/>
      <c r="J148" s="324"/>
      <c r="K148" s="431"/>
    </row>
    <row r="149" spans="1:13">
      <c r="A149" s="446"/>
      <c r="B149" s="356"/>
      <c r="C149" s="348"/>
      <c r="D149" s="331"/>
      <c r="E149" s="331"/>
      <c r="F149" s="356"/>
      <c r="G149" s="356"/>
      <c r="H149" s="356"/>
      <c r="I149" s="324"/>
      <c r="J149" s="324"/>
      <c r="K149" s="431"/>
    </row>
    <row r="150" spans="1:13">
      <c r="A150" s="446"/>
      <c r="B150" s="356"/>
      <c r="C150" s="348"/>
      <c r="D150" s="331"/>
      <c r="E150" s="331"/>
      <c r="F150" s="356"/>
      <c r="G150" s="356"/>
      <c r="H150" s="356"/>
      <c r="I150" s="324"/>
      <c r="J150" s="324"/>
      <c r="K150" s="431"/>
    </row>
    <row r="151" spans="1:13">
      <c r="A151" s="456"/>
      <c r="B151" s="356"/>
      <c r="C151" s="348"/>
      <c r="D151" s="331"/>
      <c r="E151" s="331"/>
      <c r="F151" s="356"/>
      <c r="G151" s="356"/>
      <c r="H151" s="356"/>
      <c r="I151" s="324"/>
      <c r="J151" s="324"/>
      <c r="K151" s="431"/>
    </row>
    <row r="152" spans="1:13">
      <c r="A152" s="446"/>
      <c r="B152" s="356"/>
      <c r="C152" s="348"/>
      <c r="D152" s="331"/>
      <c r="E152" s="331"/>
      <c r="F152" s="356"/>
      <c r="G152" s="356"/>
      <c r="H152" s="356"/>
      <c r="I152" s="324"/>
      <c r="J152" s="324"/>
      <c r="K152" s="431"/>
    </row>
    <row r="153" spans="1:13">
      <c r="A153" s="446"/>
      <c r="B153" s="356"/>
      <c r="C153" s="348"/>
      <c r="D153" s="331"/>
      <c r="E153" s="331"/>
      <c r="F153" s="356"/>
      <c r="G153" s="356"/>
      <c r="H153" s="356"/>
      <c r="I153" s="324"/>
      <c r="J153" s="324"/>
      <c r="K153" s="431"/>
      <c r="M153" s="348"/>
    </row>
    <row r="154" spans="1:13">
      <c r="A154" s="446"/>
      <c r="B154" s="356"/>
      <c r="C154" s="348"/>
      <c r="D154" s="331"/>
      <c r="E154" s="331"/>
      <c r="F154" s="356"/>
      <c r="G154" s="356"/>
      <c r="H154" s="356"/>
      <c r="I154" s="324"/>
      <c r="J154" s="324"/>
      <c r="K154" s="431"/>
    </row>
    <row r="155" spans="1:13">
      <c r="A155" s="446"/>
      <c r="B155" s="356"/>
      <c r="C155" s="348"/>
      <c r="D155" s="331"/>
      <c r="E155" s="331"/>
      <c r="F155" s="356"/>
      <c r="G155" s="356"/>
      <c r="H155" s="356"/>
      <c r="I155" s="324"/>
      <c r="J155" s="324"/>
      <c r="K155" s="431"/>
      <c r="L155" s="466"/>
    </row>
    <row r="156" spans="1:13">
      <c r="A156" s="446"/>
      <c r="B156" s="356"/>
      <c r="C156" s="348"/>
      <c r="D156" s="331"/>
      <c r="E156" s="331"/>
      <c r="F156" s="356"/>
      <c r="G156" s="356"/>
      <c r="H156" s="356"/>
      <c r="I156" s="324"/>
      <c r="J156" s="324"/>
      <c r="K156" s="431"/>
    </row>
    <row r="157" spans="1:13">
      <c r="A157" s="446"/>
      <c r="B157" s="356"/>
      <c r="C157" s="348"/>
      <c r="D157" s="331"/>
      <c r="E157" s="331"/>
      <c r="F157" s="356"/>
      <c r="G157" s="356"/>
      <c r="H157" s="356"/>
      <c r="I157" s="324"/>
      <c r="J157" s="324"/>
      <c r="K157" s="431"/>
    </row>
    <row r="158" spans="1:13">
      <c r="A158" s="446"/>
      <c r="B158" s="356"/>
      <c r="C158" s="348"/>
      <c r="D158" s="331"/>
      <c r="E158" s="331"/>
      <c r="F158" s="356"/>
      <c r="G158" s="356"/>
      <c r="H158" s="356"/>
      <c r="I158" s="324"/>
      <c r="J158" s="324"/>
      <c r="K158" s="431"/>
    </row>
    <row r="159" spans="1:13">
      <c r="A159" s="446"/>
      <c r="B159" s="356"/>
      <c r="C159" s="348"/>
      <c r="D159" s="331"/>
      <c r="E159" s="331"/>
      <c r="F159" s="356"/>
      <c r="G159" s="356"/>
      <c r="H159" s="356"/>
      <c r="I159" s="324"/>
      <c r="J159" s="324"/>
      <c r="K159" s="431"/>
    </row>
    <row r="160" spans="1:13">
      <c r="A160" s="446"/>
      <c r="B160" s="356"/>
      <c r="C160" s="348"/>
      <c r="D160" s="331"/>
      <c r="E160" s="331"/>
      <c r="F160" s="356"/>
      <c r="G160" s="356"/>
      <c r="H160" s="356"/>
      <c r="I160" s="324"/>
      <c r="J160" s="324"/>
      <c r="K160" s="431"/>
    </row>
    <row r="161" spans="1:13">
      <c r="A161" s="446"/>
      <c r="B161" s="356"/>
      <c r="C161" s="348"/>
      <c r="D161" s="331"/>
      <c r="E161" s="331"/>
      <c r="F161" s="356"/>
      <c r="G161" s="356"/>
      <c r="H161" s="356"/>
      <c r="I161" s="324"/>
      <c r="J161" s="324"/>
      <c r="K161" s="431"/>
    </row>
    <row r="162" spans="1:13">
      <c r="A162" s="446"/>
      <c r="B162" s="356"/>
      <c r="C162" s="348"/>
      <c r="D162" s="331"/>
      <c r="E162" s="331"/>
      <c r="F162" s="356"/>
      <c r="G162" s="356"/>
      <c r="H162" s="356"/>
      <c r="I162" s="324"/>
      <c r="J162" s="324"/>
      <c r="K162" s="431"/>
    </row>
    <row r="163" spans="1:13">
      <c r="A163" s="446"/>
      <c r="B163" s="356"/>
      <c r="C163" s="348"/>
      <c r="D163" s="331"/>
      <c r="E163" s="331"/>
      <c r="F163" s="356"/>
      <c r="G163" s="356"/>
      <c r="H163" s="356"/>
      <c r="I163" s="324"/>
      <c r="J163" s="324"/>
      <c r="K163" s="431"/>
    </row>
    <row r="164" spans="1:13">
      <c r="A164" s="446"/>
      <c r="B164" s="356"/>
      <c r="C164" s="348"/>
      <c r="D164" s="331"/>
      <c r="E164" s="331"/>
      <c r="F164" s="356"/>
      <c r="G164" s="356"/>
      <c r="H164" s="356"/>
      <c r="I164" s="324"/>
      <c r="J164" s="324"/>
      <c r="K164" s="431"/>
    </row>
    <row r="165" spans="1:13">
      <c r="A165" s="451"/>
      <c r="B165" s="356"/>
      <c r="C165" s="348"/>
      <c r="D165" s="331"/>
      <c r="E165" s="331"/>
      <c r="F165" s="356"/>
      <c r="G165" s="356"/>
      <c r="H165" s="356"/>
      <c r="I165" s="324"/>
      <c r="J165" s="324"/>
      <c r="K165" s="431"/>
    </row>
    <row r="166" spans="1:13">
      <c r="A166" s="446"/>
      <c r="B166" s="356"/>
      <c r="C166" s="348"/>
      <c r="D166" s="331"/>
      <c r="E166" s="331"/>
      <c r="F166" s="356"/>
      <c r="G166" s="356"/>
      <c r="H166" s="356"/>
      <c r="I166" s="324"/>
      <c r="J166" s="324"/>
      <c r="K166" s="431"/>
    </row>
    <row r="167" spans="1:13" ht="17.45">
      <c r="A167" s="322"/>
      <c r="B167" s="447"/>
      <c r="C167" s="348"/>
      <c r="D167" s="447"/>
      <c r="E167" s="467"/>
      <c r="F167" s="447"/>
      <c r="G167" s="447"/>
      <c r="H167" s="447"/>
      <c r="I167" s="325"/>
      <c r="J167" s="325"/>
      <c r="K167" s="431"/>
      <c r="L167" s="449"/>
    </row>
    <row r="168" spans="1:13">
      <c r="B168" s="356"/>
      <c r="C168" s="348"/>
      <c r="D168" s="331"/>
      <c r="E168" s="331"/>
      <c r="F168" s="356"/>
      <c r="G168" s="356"/>
      <c r="H168" s="356"/>
      <c r="I168" s="324"/>
      <c r="J168" s="324"/>
      <c r="K168" s="431"/>
    </row>
    <row r="169" spans="1:13">
      <c r="A169" s="415"/>
      <c r="B169" s="356"/>
      <c r="C169" s="348"/>
      <c r="D169" s="331"/>
      <c r="E169" s="331"/>
      <c r="F169" s="356"/>
      <c r="G169" s="356"/>
      <c r="H169" s="356"/>
      <c r="I169" s="324"/>
      <c r="J169" s="324"/>
      <c r="K169" s="431"/>
    </row>
    <row r="170" spans="1:13">
      <c r="A170" s="440"/>
      <c r="B170" s="356"/>
      <c r="C170" s="348"/>
      <c r="D170" s="331"/>
      <c r="E170" s="331"/>
      <c r="F170" s="356"/>
      <c r="G170" s="356"/>
      <c r="H170" s="356"/>
      <c r="I170" s="324"/>
      <c r="J170" s="324"/>
      <c r="K170" s="431"/>
    </row>
    <row r="171" spans="1:13">
      <c r="A171" s="440"/>
      <c r="B171" s="356"/>
      <c r="C171" s="348"/>
      <c r="D171" s="331"/>
      <c r="E171" s="331"/>
      <c r="F171" s="356"/>
      <c r="G171" s="356"/>
      <c r="H171" s="356"/>
      <c r="I171" s="324"/>
      <c r="J171" s="324"/>
      <c r="K171" s="431"/>
    </row>
    <row r="172" spans="1:13">
      <c r="A172" s="440"/>
      <c r="B172" s="356"/>
      <c r="C172" s="348"/>
      <c r="D172" s="331"/>
      <c r="E172" s="331"/>
      <c r="F172" s="356"/>
      <c r="G172" s="356"/>
      <c r="H172" s="356"/>
      <c r="I172" s="324"/>
      <c r="J172" s="324"/>
      <c r="K172" s="431"/>
    </row>
    <row r="173" spans="1:13">
      <c r="A173" s="468"/>
      <c r="B173" s="356"/>
      <c r="C173" s="348"/>
      <c r="D173" s="331"/>
      <c r="E173" s="331"/>
      <c r="F173" s="356"/>
      <c r="G173" s="356"/>
      <c r="H173" s="356"/>
      <c r="I173" s="324"/>
      <c r="J173" s="324"/>
      <c r="K173" s="431"/>
    </row>
    <row r="174" spans="1:13">
      <c r="A174" s="468"/>
      <c r="B174" s="356"/>
      <c r="C174" s="348"/>
      <c r="D174" s="331"/>
      <c r="E174" s="331"/>
      <c r="F174" s="356"/>
      <c r="G174" s="356"/>
      <c r="H174" s="356"/>
      <c r="I174" s="324"/>
      <c r="J174" s="324"/>
      <c r="K174" s="431"/>
    </row>
    <row r="175" spans="1:13">
      <c r="A175" s="451"/>
      <c r="B175" s="356"/>
      <c r="C175" s="348"/>
      <c r="D175" s="331"/>
      <c r="E175" s="331"/>
      <c r="F175" s="356"/>
      <c r="G175" s="356"/>
      <c r="H175" s="356"/>
      <c r="I175" s="324"/>
      <c r="J175" s="324"/>
      <c r="K175" s="431"/>
      <c r="M175" s="348"/>
    </row>
    <row r="176" spans="1:13">
      <c r="A176" s="468"/>
      <c r="B176" s="356"/>
      <c r="C176" s="348"/>
      <c r="D176" s="331"/>
      <c r="E176" s="331"/>
      <c r="F176" s="356"/>
      <c r="G176" s="356"/>
      <c r="H176" s="356"/>
      <c r="I176" s="324"/>
      <c r="J176" s="324"/>
      <c r="K176" s="431"/>
    </row>
    <row r="177" spans="1:12">
      <c r="A177" s="468"/>
      <c r="B177" s="356"/>
      <c r="C177" s="348"/>
      <c r="D177" s="331"/>
      <c r="E177" s="331"/>
      <c r="F177" s="356"/>
      <c r="G177" s="356"/>
      <c r="H177" s="356"/>
      <c r="I177" s="324"/>
      <c r="J177" s="324"/>
      <c r="K177" s="431"/>
    </row>
    <row r="178" spans="1:12">
      <c r="A178" s="451"/>
      <c r="B178" s="356"/>
      <c r="C178" s="348"/>
      <c r="D178" s="331"/>
      <c r="E178" s="331"/>
      <c r="F178" s="356"/>
      <c r="G178" s="356"/>
      <c r="H178" s="356"/>
      <c r="I178" s="324"/>
      <c r="J178" s="324"/>
      <c r="K178" s="431"/>
    </row>
    <row r="179" spans="1:12" ht="17.45">
      <c r="A179" s="445"/>
      <c r="B179" s="447"/>
      <c r="C179" s="348"/>
      <c r="D179" s="465"/>
      <c r="E179" s="450"/>
      <c r="F179" s="447"/>
      <c r="G179" s="447"/>
      <c r="H179" s="447"/>
      <c r="I179" s="325"/>
      <c r="J179" s="325"/>
      <c r="K179" s="431"/>
      <c r="L179" s="449"/>
    </row>
    <row r="180" spans="1:12">
      <c r="A180" s="468"/>
      <c r="B180" s="356"/>
      <c r="C180" s="348"/>
      <c r="D180" s="331"/>
      <c r="E180" s="331"/>
      <c r="F180" s="356"/>
      <c r="G180" s="356"/>
      <c r="H180" s="356"/>
      <c r="I180" s="324"/>
      <c r="J180" s="324"/>
      <c r="K180" s="431"/>
    </row>
    <row r="181" spans="1:12">
      <c r="A181" s="415"/>
      <c r="B181" s="356"/>
      <c r="C181" s="348"/>
      <c r="D181" s="331"/>
      <c r="E181" s="331"/>
      <c r="F181" s="356"/>
      <c r="G181" s="356"/>
      <c r="H181" s="356"/>
      <c r="I181" s="324"/>
      <c r="J181" s="324"/>
      <c r="K181" s="431"/>
    </row>
    <row r="182" spans="1:12">
      <c r="A182" s="462"/>
      <c r="B182" s="356"/>
      <c r="C182" s="348"/>
      <c r="D182" s="331"/>
      <c r="E182" s="331"/>
      <c r="F182" s="356"/>
      <c r="G182" s="356"/>
      <c r="H182" s="356"/>
      <c r="I182" s="324"/>
      <c r="J182" s="324"/>
      <c r="K182" s="431"/>
      <c r="L182" s="469"/>
    </row>
    <row r="183" spans="1:12">
      <c r="B183" s="356"/>
      <c r="C183" s="348"/>
      <c r="D183" s="331"/>
      <c r="E183" s="331"/>
      <c r="F183" s="356"/>
      <c r="G183" s="356"/>
      <c r="H183" s="356"/>
      <c r="I183" s="324"/>
      <c r="J183" s="324"/>
      <c r="K183" s="431"/>
    </row>
    <row r="184" spans="1:12">
      <c r="B184" s="356"/>
      <c r="C184" s="348"/>
      <c r="D184" s="331"/>
      <c r="E184" s="331"/>
      <c r="F184" s="356"/>
      <c r="G184" s="356"/>
      <c r="H184" s="356"/>
      <c r="I184" s="324"/>
      <c r="J184" s="324"/>
      <c r="K184" s="431"/>
    </row>
    <row r="185" spans="1:12">
      <c r="B185" s="356"/>
      <c r="C185" s="348"/>
      <c r="D185" s="331"/>
      <c r="E185" s="331"/>
      <c r="F185" s="356"/>
      <c r="G185" s="356"/>
      <c r="H185" s="356"/>
      <c r="I185" s="324"/>
      <c r="J185" s="324"/>
      <c r="K185" s="431"/>
    </row>
    <row r="186" spans="1:12">
      <c r="B186" s="356"/>
      <c r="C186" s="348"/>
      <c r="D186" s="331"/>
      <c r="E186" s="331"/>
      <c r="F186" s="356"/>
      <c r="G186" s="356"/>
      <c r="H186" s="356"/>
      <c r="I186" s="324"/>
      <c r="J186" s="324"/>
      <c r="K186" s="431"/>
    </row>
    <row r="187" spans="1:12">
      <c r="B187" s="356"/>
      <c r="C187" s="348"/>
      <c r="D187" s="331"/>
      <c r="E187" s="331"/>
      <c r="F187" s="356"/>
      <c r="G187" s="356"/>
      <c r="H187" s="356"/>
      <c r="I187" s="324"/>
      <c r="J187" s="324"/>
      <c r="K187" s="431"/>
    </row>
    <row r="188" spans="1:12">
      <c r="B188" s="356"/>
      <c r="C188" s="348"/>
      <c r="D188" s="331"/>
      <c r="E188" s="331"/>
      <c r="F188" s="356"/>
      <c r="G188" s="356"/>
      <c r="H188" s="356"/>
      <c r="I188" s="324"/>
      <c r="J188" s="324"/>
      <c r="K188" s="431"/>
    </row>
    <row r="189" spans="1:12">
      <c r="B189" s="356"/>
      <c r="C189" s="348"/>
      <c r="D189" s="331"/>
      <c r="E189" s="331"/>
      <c r="F189" s="356"/>
      <c r="G189" s="356"/>
      <c r="H189" s="356"/>
      <c r="I189" s="324"/>
      <c r="J189" s="324"/>
      <c r="K189" s="431"/>
    </row>
    <row r="190" spans="1:12">
      <c r="B190" s="356"/>
      <c r="C190" s="348"/>
      <c r="D190" s="331"/>
      <c r="E190" s="331"/>
      <c r="F190" s="356"/>
      <c r="G190" s="356"/>
      <c r="H190" s="356"/>
      <c r="I190" s="324"/>
      <c r="J190" s="324"/>
      <c r="K190" s="431"/>
    </row>
    <row r="191" spans="1:12">
      <c r="B191" s="356"/>
      <c r="C191" s="348"/>
      <c r="D191" s="331"/>
      <c r="E191" s="331"/>
      <c r="F191" s="356"/>
      <c r="G191" s="356"/>
      <c r="H191" s="356"/>
      <c r="I191" s="324"/>
      <c r="J191" s="324"/>
      <c r="K191" s="431"/>
    </row>
    <row r="192" spans="1:12">
      <c r="B192" s="356"/>
      <c r="C192" s="348"/>
      <c r="D192" s="331"/>
      <c r="E192" s="331"/>
      <c r="F192" s="356"/>
      <c r="G192" s="356"/>
      <c r="H192" s="356"/>
      <c r="I192" s="324"/>
      <c r="J192" s="324"/>
      <c r="K192" s="431"/>
    </row>
    <row r="193" spans="1:12">
      <c r="B193" s="356"/>
      <c r="C193" s="348"/>
      <c r="D193" s="331"/>
      <c r="E193" s="331"/>
      <c r="F193" s="356"/>
      <c r="G193" s="356"/>
      <c r="H193" s="356"/>
      <c r="I193" s="324"/>
      <c r="J193" s="324"/>
      <c r="K193" s="431"/>
    </row>
    <row r="194" spans="1:12">
      <c r="B194" s="356"/>
      <c r="C194" s="348"/>
      <c r="D194" s="331"/>
      <c r="E194" s="331"/>
      <c r="F194" s="356"/>
      <c r="G194" s="356"/>
      <c r="H194" s="356"/>
      <c r="I194" s="324"/>
      <c r="J194" s="324"/>
      <c r="K194" s="431"/>
    </row>
    <row r="195" spans="1:12" ht="17.45">
      <c r="A195" s="415"/>
      <c r="B195" s="447"/>
      <c r="C195" s="348"/>
      <c r="D195" s="470"/>
      <c r="E195" s="450"/>
      <c r="F195" s="447"/>
      <c r="G195" s="447"/>
      <c r="H195" s="447"/>
      <c r="I195" s="325"/>
      <c r="J195" s="325"/>
      <c r="K195" s="431"/>
      <c r="L195" s="471"/>
    </row>
    <row r="196" spans="1:12">
      <c r="A196" s="415"/>
      <c r="B196" s="447"/>
      <c r="C196" s="348"/>
      <c r="D196" s="331"/>
      <c r="E196" s="331"/>
      <c r="F196" s="447"/>
      <c r="G196" s="447"/>
      <c r="H196" s="447"/>
      <c r="I196" s="324"/>
      <c r="J196" s="324"/>
      <c r="K196" s="431"/>
      <c r="L196" s="472"/>
    </row>
    <row r="197" spans="1:12">
      <c r="A197" s="434"/>
      <c r="B197" s="356"/>
      <c r="C197" s="348"/>
      <c r="D197" s="331"/>
      <c r="E197" s="331"/>
      <c r="F197" s="356"/>
      <c r="G197" s="356"/>
      <c r="H197" s="356"/>
      <c r="I197" s="324"/>
      <c r="J197" s="324"/>
      <c r="K197" s="431"/>
      <c r="L197" s="472"/>
    </row>
    <row r="198" spans="1:12">
      <c r="A198" s="434"/>
      <c r="B198" s="356"/>
      <c r="C198" s="348"/>
      <c r="D198" s="331"/>
      <c r="E198" s="331"/>
      <c r="F198" s="356"/>
      <c r="G198" s="356"/>
      <c r="H198" s="356"/>
      <c r="I198" s="324"/>
      <c r="J198" s="324"/>
      <c r="K198" s="431"/>
      <c r="L198" s="472"/>
    </row>
    <row r="199" spans="1:12">
      <c r="A199" s="440"/>
      <c r="B199" s="356"/>
      <c r="C199" s="348"/>
      <c r="D199" s="331"/>
      <c r="E199" s="331"/>
      <c r="F199" s="356"/>
      <c r="G199" s="356"/>
      <c r="H199" s="356"/>
      <c r="I199" s="324"/>
      <c r="J199" s="324"/>
      <c r="K199" s="431"/>
      <c r="L199" s="473"/>
    </row>
    <row r="200" spans="1:12" ht="17.45">
      <c r="A200" s="434"/>
      <c r="B200" s="447"/>
      <c r="C200" s="348"/>
      <c r="D200" s="447"/>
      <c r="E200" s="332"/>
      <c r="F200" s="447"/>
      <c r="G200" s="447"/>
      <c r="H200" s="447"/>
      <c r="I200" s="325"/>
      <c r="J200" s="325"/>
      <c r="K200" s="431"/>
      <c r="L200" s="473"/>
    </row>
    <row r="201" spans="1:12">
      <c r="A201" s="451"/>
      <c r="B201" s="356"/>
      <c r="C201" s="348"/>
      <c r="D201" s="331"/>
      <c r="E201" s="331"/>
      <c r="F201" s="356"/>
      <c r="G201" s="356"/>
      <c r="H201" s="356"/>
      <c r="I201" s="324"/>
      <c r="J201" s="324"/>
      <c r="K201" s="431"/>
      <c r="L201" s="473"/>
    </row>
    <row r="202" spans="1:12">
      <c r="A202" s="434"/>
      <c r="B202" s="356"/>
      <c r="C202" s="348"/>
      <c r="D202" s="331"/>
      <c r="E202" s="331"/>
      <c r="F202" s="356"/>
      <c r="G202" s="356"/>
      <c r="H202" s="356"/>
      <c r="I202" s="324"/>
      <c r="J202" s="324"/>
      <c r="K202" s="431"/>
      <c r="L202" s="472"/>
    </row>
    <row r="203" spans="1:12">
      <c r="A203" s="468"/>
      <c r="B203" s="356"/>
      <c r="C203" s="348"/>
      <c r="D203" s="331"/>
      <c r="E203" s="331"/>
      <c r="F203" s="356"/>
      <c r="G203" s="356"/>
      <c r="H203" s="356"/>
      <c r="I203" s="324"/>
      <c r="J203" s="324"/>
      <c r="K203" s="431"/>
      <c r="L203" s="472"/>
    </row>
    <row r="204" spans="1:12">
      <c r="A204" s="446"/>
      <c r="B204" s="356"/>
      <c r="C204" s="348"/>
      <c r="D204" s="331"/>
      <c r="E204" s="331"/>
      <c r="F204" s="356"/>
      <c r="G204" s="356"/>
      <c r="H204" s="356"/>
      <c r="I204" s="324"/>
      <c r="J204" s="324"/>
      <c r="K204" s="431"/>
      <c r="L204" s="472"/>
    </row>
    <row r="205" spans="1:12" ht="17.45">
      <c r="A205" s="426"/>
      <c r="B205" s="447"/>
      <c r="C205" s="348"/>
      <c r="D205" s="474"/>
      <c r="E205" s="475"/>
      <c r="F205" s="447"/>
      <c r="G205" s="447"/>
      <c r="H205" s="447"/>
      <c r="I205" s="325"/>
      <c r="J205" s="325"/>
      <c r="K205" s="431"/>
      <c r="L205" s="476"/>
    </row>
    <row r="206" spans="1:12">
      <c r="A206" s="446"/>
      <c r="B206" s="356"/>
      <c r="C206" s="348"/>
      <c r="D206" s="331"/>
      <c r="E206" s="331"/>
      <c r="F206" s="356"/>
      <c r="G206" s="356"/>
      <c r="H206" s="356"/>
      <c r="I206" s="324"/>
      <c r="J206" s="324"/>
      <c r="K206" s="431"/>
      <c r="L206" s="473"/>
    </row>
    <row r="207" spans="1:12">
      <c r="A207" s="434"/>
      <c r="B207" s="356"/>
      <c r="C207" s="348"/>
      <c r="D207" s="331"/>
      <c r="E207" s="331"/>
      <c r="F207" s="356"/>
      <c r="G207" s="356"/>
      <c r="H207" s="356"/>
      <c r="I207" s="324"/>
      <c r="J207" s="324"/>
      <c r="K207" s="431"/>
    </row>
    <row r="208" spans="1:12">
      <c r="A208" s="463"/>
      <c r="B208" s="356"/>
      <c r="C208" s="348"/>
      <c r="D208" s="331"/>
      <c r="E208" s="331"/>
      <c r="F208" s="356"/>
      <c r="G208" s="356"/>
      <c r="H208" s="356"/>
      <c r="I208" s="324"/>
      <c r="J208" s="324"/>
      <c r="K208" s="431"/>
    </row>
    <row r="209" spans="1:12">
      <c r="A209" s="468"/>
      <c r="B209" s="356"/>
      <c r="C209" s="348"/>
      <c r="D209" s="331"/>
      <c r="E209" s="331"/>
      <c r="F209" s="356"/>
      <c r="G209" s="356"/>
      <c r="H209" s="356"/>
      <c r="I209" s="324"/>
      <c r="J209" s="324"/>
      <c r="K209" s="431"/>
    </row>
    <row r="210" spans="1:12" ht="17.45">
      <c r="A210" s="434"/>
      <c r="B210" s="447"/>
      <c r="C210" s="348"/>
      <c r="D210" s="447"/>
      <c r="E210" s="332"/>
      <c r="F210" s="447"/>
      <c r="G210" s="447"/>
      <c r="H210" s="447"/>
      <c r="I210" s="325"/>
      <c r="J210" s="325"/>
      <c r="K210" s="431"/>
    </row>
    <row r="211" spans="1:12">
      <c r="A211" s="446"/>
      <c r="B211" s="356"/>
      <c r="C211" s="348"/>
      <c r="D211" s="331"/>
      <c r="E211" s="331"/>
      <c r="F211" s="356"/>
      <c r="G211" s="356"/>
      <c r="H211" s="356"/>
      <c r="I211" s="324"/>
      <c r="J211" s="324"/>
      <c r="K211" s="431"/>
    </row>
    <row r="212" spans="1:12">
      <c r="A212" s="434"/>
      <c r="B212" s="356"/>
      <c r="C212" s="348"/>
      <c r="D212" s="331"/>
      <c r="E212" s="331"/>
      <c r="F212" s="356"/>
      <c r="G212" s="356"/>
      <c r="H212" s="356"/>
      <c r="I212" s="324"/>
      <c r="J212" s="324"/>
      <c r="K212" s="431"/>
    </row>
    <row r="213" spans="1:12">
      <c r="A213" s="446"/>
      <c r="B213" s="356"/>
      <c r="C213" s="348"/>
      <c r="D213" s="331"/>
      <c r="E213" s="331"/>
      <c r="F213" s="356"/>
      <c r="G213" s="356"/>
      <c r="H213" s="356"/>
      <c r="I213" s="324"/>
      <c r="J213" s="324"/>
      <c r="K213" s="431"/>
    </row>
    <row r="214" spans="1:12">
      <c r="A214" s="456"/>
      <c r="B214" s="356"/>
      <c r="C214" s="348"/>
      <c r="D214" s="331"/>
      <c r="E214" s="331"/>
      <c r="F214" s="356"/>
      <c r="G214" s="356"/>
      <c r="H214" s="356"/>
      <c r="I214" s="324"/>
      <c r="J214" s="324"/>
      <c r="K214" s="431"/>
    </row>
    <row r="215" spans="1:12">
      <c r="A215" s="446"/>
      <c r="B215" s="356"/>
      <c r="C215" s="348"/>
      <c r="D215" s="331"/>
      <c r="E215" s="331"/>
      <c r="F215" s="356"/>
      <c r="G215" s="356"/>
      <c r="H215" s="356"/>
      <c r="I215" s="324"/>
      <c r="J215" s="324"/>
      <c r="K215" s="431"/>
    </row>
    <row r="216" spans="1:12">
      <c r="A216" s="440"/>
      <c r="B216" s="356"/>
      <c r="C216" s="348"/>
      <c r="D216" s="331"/>
      <c r="E216" s="331"/>
      <c r="F216" s="356"/>
      <c r="G216" s="356"/>
      <c r="H216" s="356"/>
      <c r="I216" s="324"/>
      <c r="J216" s="324"/>
      <c r="K216" s="431"/>
    </row>
    <row r="217" spans="1:12">
      <c r="A217" s="440"/>
      <c r="B217" s="356"/>
      <c r="C217" s="348"/>
      <c r="D217" s="331"/>
      <c r="E217" s="331"/>
      <c r="F217" s="356"/>
      <c r="G217" s="356"/>
      <c r="H217" s="356"/>
      <c r="I217" s="324"/>
      <c r="J217" s="324"/>
      <c r="K217" s="431"/>
    </row>
    <row r="218" spans="1:12">
      <c r="A218" s="440"/>
      <c r="B218" s="356"/>
      <c r="C218" s="348"/>
      <c r="D218" s="331"/>
      <c r="E218" s="331"/>
      <c r="F218" s="356"/>
      <c r="G218" s="356"/>
      <c r="H218" s="356"/>
      <c r="I218" s="324"/>
      <c r="J218" s="324"/>
      <c r="K218" s="431"/>
    </row>
    <row r="219" spans="1:12" ht="17.45">
      <c r="A219" s="434"/>
      <c r="B219" s="447"/>
      <c r="C219" s="348"/>
      <c r="D219" s="477"/>
      <c r="E219" s="450"/>
      <c r="F219" s="447"/>
      <c r="G219" s="447"/>
      <c r="H219" s="447"/>
      <c r="I219" s="325"/>
      <c r="J219" s="325"/>
      <c r="K219" s="431"/>
      <c r="L219" s="471"/>
    </row>
    <row r="220" spans="1:12">
      <c r="A220" s="445"/>
      <c r="B220" s="356"/>
      <c r="C220" s="348"/>
      <c r="D220" s="331"/>
      <c r="E220" s="331"/>
      <c r="F220" s="356"/>
      <c r="G220" s="356"/>
      <c r="H220" s="356"/>
      <c r="I220" s="324"/>
      <c r="J220" s="324"/>
      <c r="K220" s="431"/>
      <c r="L220" s="472"/>
    </row>
    <row r="221" spans="1:12">
      <c r="A221" s="445"/>
      <c r="B221" s="356"/>
      <c r="C221" s="348"/>
      <c r="D221" s="331"/>
      <c r="E221" s="331"/>
      <c r="F221" s="356"/>
      <c r="G221" s="356"/>
      <c r="H221" s="356"/>
      <c r="I221" s="324"/>
      <c r="J221" s="324"/>
      <c r="K221" s="431"/>
    </row>
    <row r="222" spans="1:12">
      <c r="A222" s="440"/>
      <c r="E222" s="331"/>
      <c r="H222" s="356"/>
    </row>
    <row r="223" spans="1:12">
      <c r="A223" s="440"/>
      <c r="B223" s="356"/>
      <c r="C223" s="348"/>
      <c r="D223" s="331"/>
      <c r="E223" s="331"/>
      <c r="F223" s="356"/>
      <c r="G223" s="356"/>
      <c r="H223" s="356"/>
      <c r="I223" s="324"/>
      <c r="J223" s="324"/>
      <c r="K223" s="431"/>
    </row>
    <row r="224" spans="1:12" ht="17.45">
      <c r="A224" s="445"/>
      <c r="B224" s="447"/>
      <c r="C224" s="348"/>
      <c r="D224" s="447"/>
      <c r="E224" s="450"/>
      <c r="F224" s="447"/>
      <c r="G224" s="447"/>
      <c r="H224" s="447"/>
      <c r="I224" s="325"/>
      <c r="J224" s="325"/>
      <c r="K224" s="431"/>
      <c r="L224" s="449"/>
    </row>
    <row r="225" spans="1:13">
      <c r="A225" s="446"/>
      <c r="B225" s="356"/>
      <c r="C225" s="348"/>
      <c r="D225" s="331"/>
      <c r="E225" s="331"/>
      <c r="F225" s="356"/>
      <c r="G225" s="356"/>
      <c r="H225" s="356"/>
      <c r="I225" s="324"/>
      <c r="J225" s="324"/>
      <c r="K225" s="431"/>
      <c r="L225" s="478"/>
      <c r="M225" s="449"/>
    </row>
    <row r="226" spans="1:13">
      <c r="A226" s="445"/>
      <c r="B226" s="356"/>
      <c r="C226" s="348"/>
      <c r="D226" s="331"/>
      <c r="E226" s="331"/>
      <c r="F226" s="356"/>
      <c r="G226" s="356"/>
      <c r="H226" s="356"/>
      <c r="I226" s="324"/>
      <c r="J226" s="324"/>
      <c r="K226" s="431"/>
      <c r="L226" s="478"/>
      <c r="M226" s="449"/>
    </row>
    <row r="227" spans="1:13">
      <c r="A227" s="468"/>
      <c r="B227" s="356"/>
      <c r="C227" s="348"/>
      <c r="D227" s="331"/>
      <c r="E227" s="331"/>
      <c r="F227" s="356"/>
      <c r="G227" s="356"/>
      <c r="H227" s="356"/>
      <c r="I227" s="324"/>
      <c r="J227" s="324"/>
      <c r="K227" s="431"/>
      <c r="L227" s="478"/>
      <c r="M227" s="449"/>
    </row>
    <row r="228" spans="1:13">
      <c r="A228" s="468"/>
      <c r="B228" s="356"/>
      <c r="C228" s="348"/>
      <c r="D228" s="331"/>
      <c r="E228" s="331"/>
      <c r="F228" s="356"/>
      <c r="G228" s="356"/>
      <c r="H228" s="356"/>
      <c r="I228" s="324"/>
      <c r="J228" s="324"/>
      <c r="K228" s="431"/>
    </row>
    <row r="229" spans="1:13">
      <c r="A229" s="468"/>
      <c r="B229" s="356"/>
      <c r="C229" s="348"/>
      <c r="D229" s="331"/>
      <c r="E229" s="331"/>
      <c r="F229" s="356"/>
      <c r="G229" s="356"/>
      <c r="H229" s="356"/>
      <c r="I229" s="324"/>
      <c r="J229" s="324"/>
      <c r="K229" s="431"/>
      <c r="L229" s="472"/>
    </row>
    <row r="230" spans="1:13">
      <c r="A230" s="468"/>
      <c r="B230" s="356"/>
      <c r="C230" s="348"/>
      <c r="D230" s="331"/>
      <c r="E230" s="331"/>
      <c r="F230" s="356"/>
      <c r="G230" s="356"/>
      <c r="H230" s="356"/>
      <c r="I230" s="324"/>
      <c r="J230" s="324"/>
      <c r="K230" s="431"/>
      <c r="L230" s="472"/>
    </row>
    <row r="231" spans="1:13" ht="17.45">
      <c r="A231" s="445"/>
      <c r="B231" s="447"/>
      <c r="C231" s="348"/>
      <c r="D231" s="332"/>
      <c r="E231" s="332"/>
      <c r="F231" s="447"/>
      <c r="G231" s="447"/>
      <c r="H231" s="447"/>
      <c r="I231" s="325"/>
      <c r="J231" s="325"/>
      <c r="K231" s="431"/>
      <c r="L231" s="471"/>
    </row>
    <row r="232" spans="1:13">
      <c r="A232" s="445"/>
      <c r="B232" s="356"/>
      <c r="C232" s="348"/>
      <c r="D232" s="331"/>
      <c r="E232" s="331"/>
      <c r="F232" s="356"/>
      <c r="G232" s="447"/>
      <c r="H232" s="356"/>
      <c r="I232" s="324"/>
      <c r="J232" s="324"/>
      <c r="K232" s="431"/>
      <c r="L232" s="472"/>
    </row>
    <row r="233" spans="1:13">
      <c r="A233" s="452"/>
      <c r="B233" s="356"/>
      <c r="C233" s="348"/>
      <c r="D233" s="331"/>
      <c r="E233" s="331"/>
      <c r="F233" s="356"/>
      <c r="G233" s="356"/>
      <c r="H233" s="356"/>
      <c r="I233" s="324"/>
      <c r="J233" s="324"/>
      <c r="K233" s="431"/>
    </row>
    <row r="234" spans="1:13">
      <c r="A234" s="446"/>
      <c r="B234" s="356"/>
      <c r="C234" s="348"/>
      <c r="D234" s="331"/>
      <c r="E234" s="331"/>
      <c r="F234" s="356"/>
      <c r="G234" s="356"/>
      <c r="H234" s="356"/>
      <c r="I234" s="324"/>
      <c r="J234" s="324"/>
      <c r="K234" s="431"/>
    </row>
    <row r="235" spans="1:13">
      <c r="A235" s="440"/>
      <c r="B235" s="356"/>
      <c r="C235" s="348"/>
      <c r="D235" s="331"/>
      <c r="E235" s="331"/>
      <c r="F235" s="356"/>
      <c r="G235" s="356"/>
      <c r="H235" s="356"/>
      <c r="I235" s="324"/>
      <c r="J235" s="324"/>
      <c r="K235" s="431"/>
    </row>
    <row r="236" spans="1:13">
      <c r="A236" s="451"/>
      <c r="B236" s="356"/>
      <c r="C236" s="348"/>
      <c r="D236" s="331"/>
      <c r="E236" s="331"/>
      <c r="F236" s="356"/>
      <c r="G236" s="356"/>
      <c r="H236" s="356"/>
      <c r="I236" s="324"/>
      <c r="J236" s="324"/>
      <c r="K236" s="431"/>
    </row>
    <row r="237" spans="1:13">
      <c r="A237" s="440"/>
      <c r="B237" s="356"/>
      <c r="C237" s="348"/>
      <c r="D237" s="331"/>
      <c r="E237" s="331"/>
      <c r="F237" s="356"/>
      <c r="G237" s="356"/>
      <c r="H237" s="356"/>
      <c r="I237" s="324"/>
      <c r="J237" s="324"/>
      <c r="K237" s="431"/>
    </row>
    <row r="238" spans="1:13">
      <c r="A238" s="440"/>
      <c r="B238" s="356"/>
      <c r="C238" s="348"/>
      <c r="D238" s="331"/>
      <c r="E238" s="331"/>
      <c r="F238" s="356"/>
      <c r="G238" s="356"/>
      <c r="H238" s="356"/>
      <c r="I238" s="324"/>
      <c r="J238" s="324"/>
      <c r="K238" s="431"/>
    </row>
    <row r="239" spans="1:13">
      <c r="A239" s="440"/>
      <c r="B239" s="356"/>
      <c r="C239" s="348"/>
      <c r="D239" s="331"/>
      <c r="E239" s="331"/>
      <c r="F239" s="356"/>
      <c r="G239" s="356"/>
      <c r="H239" s="356"/>
      <c r="I239" s="324"/>
      <c r="J239" s="324"/>
      <c r="K239" s="431"/>
    </row>
    <row r="240" spans="1:13">
      <c r="A240" s="440"/>
      <c r="B240" s="356"/>
      <c r="C240" s="348"/>
      <c r="D240" s="331"/>
      <c r="E240" s="331"/>
      <c r="F240" s="356"/>
      <c r="G240" s="356"/>
      <c r="H240" s="356"/>
      <c r="I240" s="324"/>
      <c r="J240" s="324"/>
      <c r="K240" s="431"/>
    </row>
    <row r="241" spans="1:12" ht="17.45">
      <c r="A241" s="452"/>
      <c r="B241" s="447"/>
      <c r="C241" s="348"/>
      <c r="D241" s="447"/>
      <c r="E241" s="332"/>
      <c r="F241" s="447"/>
      <c r="G241" s="447"/>
      <c r="H241" s="447"/>
      <c r="I241" s="325"/>
      <c r="J241" s="325"/>
      <c r="K241" s="431"/>
      <c r="L241" s="449"/>
    </row>
    <row r="242" spans="1:12">
      <c r="A242" s="452"/>
      <c r="B242" s="356"/>
      <c r="C242" s="348"/>
      <c r="D242" s="331"/>
      <c r="E242" s="331"/>
      <c r="F242" s="356"/>
      <c r="G242" s="356"/>
      <c r="H242" s="356"/>
      <c r="I242" s="324"/>
      <c r="J242" s="324"/>
      <c r="K242" s="431"/>
    </row>
    <row r="243" spans="1:12">
      <c r="A243" s="452"/>
      <c r="B243" s="356"/>
      <c r="C243" s="348"/>
      <c r="D243" s="331"/>
      <c r="E243" s="331"/>
      <c r="F243" s="356"/>
      <c r="G243" s="356"/>
      <c r="H243" s="356"/>
      <c r="I243" s="324"/>
      <c r="J243" s="324"/>
      <c r="K243" s="431"/>
    </row>
    <row r="244" spans="1:12">
      <c r="A244" s="451"/>
      <c r="B244" s="356"/>
      <c r="C244" s="348"/>
      <c r="D244" s="331"/>
      <c r="E244" s="331"/>
      <c r="F244" s="356"/>
      <c r="G244" s="356"/>
      <c r="H244" s="356"/>
      <c r="I244" s="324"/>
      <c r="J244" s="324"/>
      <c r="K244" s="431"/>
    </row>
    <row r="245" spans="1:12">
      <c r="A245" s="451"/>
      <c r="B245" s="356"/>
      <c r="C245" s="348"/>
      <c r="D245" s="331"/>
      <c r="E245" s="331"/>
      <c r="F245" s="356"/>
      <c r="G245" s="356"/>
      <c r="H245" s="356"/>
      <c r="I245" s="324"/>
      <c r="J245" s="324"/>
      <c r="K245" s="431"/>
    </row>
    <row r="246" spans="1:12" ht="17.45">
      <c r="A246" s="434"/>
      <c r="B246" s="447"/>
      <c r="C246" s="348"/>
      <c r="D246" s="332"/>
      <c r="E246" s="332"/>
      <c r="F246" s="447"/>
      <c r="G246" s="447"/>
      <c r="H246" s="447"/>
      <c r="I246" s="325"/>
      <c r="J246" s="325"/>
      <c r="K246" s="431"/>
    </row>
    <row r="247" spans="1:12">
      <c r="A247" s="440"/>
      <c r="B247" s="356"/>
      <c r="C247" s="348"/>
      <c r="D247" s="331"/>
      <c r="E247" s="331"/>
      <c r="F247" s="356"/>
      <c r="G247" s="356"/>
      <c r="H247" s="356"/>
      <c r="I247" s="324"/>
      <c r="J247" s="324"/>
      <c r="K247" s="431"/>
    </row>
    <row r="248" spans="1:12">
      <c r="A248" s="426"/>
      <c r="B248" s="356"/>
      <c r="C248" s="348"/>
      <c r="D248" s="331"/>
      <c r="E248" s="331"/>
      <c r="F248" s="356"/>
      <c r="G248" s="356"/>
      <c r="H248" s="356"/>
      <c r="I248" s="324"/>
      <c r="J248" s="324"/>
      <c r="K248" s="431"/>
    </row>
    <row r="249" spans="1:12">
      <c r="A249" s="440"/>
      <c r="B249" s="356"/>
      <c r="C249" s="348"/>
      <c r="D249" s="331"/>
      <c r="E249" s="331"/>
      <c r="F249" s="356"/>
      <c r="G249" s="356"/>
      <c r="H249" s="356"/>
      <c r="I249" s="324"/>
      <c r="J249" s="324"/>
      <c r="K249" s="431"/>
    </row>
    <row r="250" spans="1:12">
      <c r="A250" s="440"/>
      <c r="B250" s="356"/>
      <c r="C250" s="348"/>
      <c r="D250" s="331"/>
      <c r="E250" s="331"/>
      <c r="F250" s="356"/>
      <c r="G250" s="356"/>
      <c r="H250" s="356"/>
      <c r="I250" s="324"/>
      <c r="J250" s="324"/>
      <c r="K250" s="431"/>
    </row>
    <row r="251" spans="1:12">
      <c r="A251" s="440"/>
      <c r="B251" s="356"/>
      <c r="C251" s="348"/>
      <c r="D251" s="331"/>
      <c r="E251" s="331"/>
      <c r="F251" s="356"/>
      <c r="G251" s="356"/>
      <c r="H251" s="356"/>
      <c r="I251" s="324"/>
      <c r="J251" s="324"/>
      <c r="K251" s="431"/>
    </row>
    <row r="252" spans="1:12">
      <c r="A252" s="440"/>
      <c r="B252" s="356"/>
      <c r="C252" s="348"/>
      <c r="D252" s="331"/>
      <c r="E252" s="331"/>
      <c r="F252" s="356"/>
      <c r="G252" s="356"/>
      <c r="H252" s="356"/>
      <c r="I252" s="324"/>
      <c r="J252" s="324"/>
      <c r="K252" s="431"/>
    </row>
    <row r="253" spans="1:12">
      <c r="A253" s="440"/>
      <c r="B253" s="356"/>
      <c r="C253" s="348"/>
      <c r="D253" s="331"/>
      <c r="E253" s="331"/>
      <c r="F253" s="356"/>
      <c r="G253" s="356"/>
      <c r="H253" s="356"/>
      <c r="I253" s="324"/>
      <c r="J253" s="324"/>
      <c r="K253" s="431"/>
    </row>
    <row r="254" spans="1:12">
      <c r="A254" s="440"/>
      <c r="B254" s="356"/>
      <c r="C254" s="348"/>
      <c r="D254" s="331"/>
      <c r="E254" s="331"/>
      <c r="F254" s="356"/>
      <c r="G254" s="356"/>
      <c r="H254" s="356"/>
      <c r="I254" s="324"/>
      <c r="J254" s="324"/>
      <c r="K254" s="431"/>
    </row>
    <row r="255" spans="1:12" ht="17.45">
      <c r="A255" s="434"/>
      <c r="B255" s="447"/>
      <c r="C255" s="348"/>
      <c r="D255" s="447"/>
      <c r="E255" s="459"/>
      <c r="F255" s="447"/>
      <c r="G255" s="447"/>
      <c r="H255" s="447"/>
      <c r="I255" s="325"/>
      <c r="J255" s="325"/>
      <c r="K255" s="431"/>
      <c r="L255" s="449"/>
    </row>
    <row r="256" spans="1:12">
      <c r="A256" s="434"/>
      <c r="B256" s="356"/>
      <c r="C256" s="348"/>
      <c r="D256" s="331"/>
      <c r="E256" s="331"/>
      <c r="F256" s="356"/>
      <c r="G256" s="356"/>
      <c r="H256" s="356"/>
      <c r="I256" s="324"/>
      <c r="J256" s="324"/>
      <c r="K256" s="431"/>
    </row>
    <row r="257" spans="1:12">
      <c r="A257" s="426"/>
      <c r="B257" s="356"/>
      <c r="C257" s="348"/>
      <c r="D257" s="331"/>
      <c r="E257" s="331"/>
      <c r="F257" s="356"/>
      <c r="G257" s="356"/>
      <c r="H257" s="356"/>
      <c r="I257" s="324"/>
      <c r="J257" s="324"/>
      <c r="K257" s="431"/>
    </row>
    <row r="258" spans="1:12">
      <c r="A258" s="446"/>
      <c r="B258" s="356"/>
      <c r="C258" s="348"/>
      <c r="D258" s="331"/>
      <c r="E258" s="331"/>
      <c r="F258" s="356"/>
      <c r="G258" s="356"/>
      <c r="H258" s="356"/>
      <c r="I258" s="324"/>
      <c r="J258" s="324"/>
      <c r="K258" s="431"/>
    </row>
    <row r="259" spans="1:12">
      <c r="A259" s="446"/>
      <c r="B259" s="356"/>
      <c r="C259" s="348"/>
      <c r="D259" s="331"/>
      <c r="E259" s="331"/>
      <c r="F259" s="356"/>
      <c r="G259" s="356"/>
      <c r="H259" s="356"/>
      <c r="I259" s="324"/>
      <c r="J259" s="324"/>
      <c r="K259" s="431"/>
    </row>
    <row r="260" spans="1:12">
      <c r="A260" s="446"/>
      <c r="B260" s="356"/>
      <c r="C260" s="348"/>
      <c r="D260" s="331"/>
      <c r="E260" s="331"/>
      <c r="F260" s="356"/>
      <c r="G260" s="356"/>
      <c r="H260" s="356"/>
      <c r="I260" s="324"/>
      <c r="J260" s="324"/>
      <c r="K260" s="431"/>
    </row>
    <row r="261" spans="1:12">
      <c r="A261" s="446"/>
      <c r="B261" s="356"/>
      <c r="C261" s="348"/>
      <c r="D261" s="331"/>
      <c r="E261" s="331"/>
      <c r="F261" s="356"/>
      <c r="G261" s="356"/>
      <c r="H261" s="356"/>
      <c r="I261" s="324"/>
      <c r="J261" s="324"/>
      <c r="K261" s="431"/>
    </row>
    <row r="262" spans="1:12">
      <c r="A262" s="446"/>
      <c r="B262" s="356"/>
      <c r="C262" s="348"/>
      <c r="D262" s="331"/>
      <c r="E262" s="331"/>
      <c r="F262" s="356"/>
      <c r="G262" s="356"/>
      <c r="H262" s="356"/>
      <c r="I262" s="324"/>
      <c r="J262" s="324"/>
      <c r="K262" s="431"/>
    </row>
    <row r="263" spans="1:12">
      <c r="A263" s="440"/>
      <c r="B263" s="356"/>
      <c r="C263" s="348"/>
      <c r="D263" s="331"/>
      <c r="E263" s="331"/>
      <c r="F263" s="356"/>
      <c r="G263" s="356"/>
      <c r="H263" s="356"/>
      <c r="I263" s="324"/>
      <c r="J263" s="324"/>
      <c r="K263" s="431"/>
    </row>
    <row r="264" spans="1:12" ht="17.45">
      <c r="A264" s="434"/>
      <c r="B264" s="447"/>
      <c r="C264" s="348"/>
      <c r="D264" s="332"/>
      <c r="E264" s="450"/>
      <c r="F264" s="447"/>
      <c r="G264" s="447"/>
      <c r="H264" s="447"/>
      <c r="I264" s="325"/>
      <c r="J264" s="325"/>
      <c r="K264" s="479"/>
      <c r="L264" s="449"/>
    </row>
    <row r="265" spans="1:12">
      <c r="A265" s="440"/>
      <c r="B265" s="356"/>
      <c r="C265" s="348"/>
      <c r="D265" s="331"/>
      <c r="E265" s="331"/>
      <c r="F265" s="356"/>
      <c r="G265" s="356"/>
      <c r="H265" s="356"/>
      <c r="I265" s="324"/>
      <c r="J265" s="324"/>
      <c r="K265" s="431"/>
    </row>
    <row r="266" spans="1:12">
      <c r="A266" s="434"/>
      <c r="B266" s="356"/>
      <c r="C266" s="348"/>
      <c r="D266" s="331"/>
      <c r="E266" s="331"/>
      <c r="F266" s="356"/>
      <c r="G266" s="356"/>
      <c r="H266" s="356"/>
      <c r="I266" s="324"/>
      <c r="J266" s="324"/>
      <c r="K266" s="431"/>
    </row>
    <row r="267" spans="1:12">
      <c r="A267" s="456"/>
      <c r="B267" s="356"/>
      <c r="C267" s="348"/>
      <c r="D267" s="331"/>
      <c r="E267" s="331"/>
      <c r="F267" s="356"/>
      <c r="G267" s="356"/>
      <c r="H267" s="356"/>
      <c r="I267" s="324"/>
      <c r="J267" s="324"/>
      <c r="K267" s="431"/>
    </row>
    <row r="268" spans="1:12">
      <c r="A268" s="446"/>
      <c r="B268" s="356"/>
      <c r="C268" s="348"/>
      <c r="D268" s="331"/>
      <c r="E268" s="331"/>
      <c r="F268" s="356"/>
      <c r="G268" s="356"/>
      <c r="H268" s="356"/>
      <c r="I268" s="324"/>
      <c r="J268" s="324"/>
      <c r="K268" s="431"/>
    </row>
    <row r="269" spans="1:12">
      <c r="A269" s="446"/>
      <c r="B269" s="356"/>
      <c r="C269" s="348"/>
      <c r="D269" s="331"/>
      <c r="E269" s="331"/>
      <c r="F269" s="356"/>
      <c r="G269" s="356"/>
      <c r="H269" s="356"/>
      <c r="I269" s="324"/>
      <c r="J269" s="324"/>
      <c r="K269" s="431"/>
    </row>
    <row r="270" spans="1:12">
      <c r="A270" s="446"/>
      <c r="B270" s="356"/>
      <c r="C270" s="348"/>
      <c r="D270" s="331"/>
      <c r="E270" s="331"/>
      <c r="F270" s="356"/>
      <c r="G270" s="356"/>
      <c r="H270" s="356"/>
      <c r="I270" s="324"/>
      <c r="J270" s="324"/>
      <c r="K270" s="431"/>
    </row>
    <row r="271" spans="1:12">
      <c r="A271" s="446"/>
      <c r="B271" s="356"/>
      <c r="C271" s="348"/>
      <c r="D271" s="331"/>
      <c r="E271" s="331"/>
      <c r="F271" s="356"/>
      <c r="G271" s="356"/>
      <c r="H271" s="356"/>
      <c r="I271" s="324"/>
      <c r="J271" s="324"/>
      <c r="K271" s="431"/>
    </row>
    <row r="272" spans="1:12">
      <c r="A272" s="446"/>
      <c r="B272" s="356"/>
      <c r="C272" s="348"/>
      <c r="D272" s="331"/>
      <c r="E272" s="331"/>
      <c r="F272" s="356"/>
      <c r="G272" s="356"/>
      <c r="H272" s="356"/>
      <c r="I272" s="324"/>
      <c r="J272" s="324"/>
      <c r="K272" s="431"/>
    </row>
    <row r="273" spans="1:12" ht="17.45">
      <c r="A273" s="426"/>
      <c r="B273" s="447"/>
      <c r="C273" s="348"/>
      <c r="D273" s="447"/>
      <c r="E273" s="454"/>
      <c r="F273" s="447"/>
      <c r="G273" s="447"/>
      <c r="H273" s="447"/>
      <c r="I273" s="325"/>
      <c r="J273" s="325"/>
      <c r="K273" s="479"/>
      <c r="L273" s="449"/>
    </row>
    <row r="274" spans="1:12">
      <c r="A274" s="322"/>
      <c r="B274" s="356"/>
      <c r="C274" s="348"/>
      <c r="D274" s="331"/>
      <c r="E274" s="331"/>
      <c r="F274" s="356"/>
      <c r="G274" s="356"/>
      <c r="H274" s="356"/>
      <c r="I274" s="324"/>
      <c r="J274" s="324"/>
      <c r="K274" s="431"/>
    </row>
    <row r="275" spans="1:12">
      <c r="A275" s="480"/>
      <c r="B275" s="356"/>
      <c r="C275" s="348"/>
      <c r="D275" s="331"/>
      <c r="E275" s="331"/>
      <c r="F275" s="356"/>
      <c r="G275" s="356"/>
      <c r="H275" s="356"/>
      <c r="I275" s="324"/>
      <c r="J275" s="324"/>
      <c r="K275" s="431"/>
    </row>
    <row r="276" spans="1:12">
      <c r="A276" s="446"/>
      <c r="B276" s="356"/>
      <c r="C276" s="348"/>
      <c r="D276" s="331"/>
      <c r="E276" s="331"/>
      <c r="F276" s="356"/>
      <c r="G276" s="356"/>
      <c r="H276" s="356"/>
      <c r="I276" s="324"/>
      <c r="J276" s="324"/>
      <c r="K276" s="431"/>
    </row>
    <row r="277" spans="1:12">
      <c r="A277" s="446"/>
      <c r="B277" s="356"/>
      <c r="C277" s="348"/>
      <c r="D277" s="331"/>
      <c r="E277" s="331"/>
      <c r="F277" s="356"/>
      <c r="G277" s="356"/>
      <c r="H277" s="356"/>
      <c r="I277" s="324"/>
      <c r="J277" s="324"/>
      <c r="K277" s="431"/>
    </row>
    <row r="278" spans="1:12">
      <c r="A278" s="456"/>
      <c r="B278" s="356"/>
      <c r="C278" s="348"/>
      <c r="D278" s="331"/>
      <c r="E278" s="331"/>
      <c r="F278" s="356"/>
      <c r="G278" s="356"/>
      <c r="H278" s="356"/>
      <c r="I278" s="324"/>
      <c r="J278" s="324"/>
      <c r="K278" s="431"/>
    </row>
    <row r="279" spans="1:12">
      <c r="A279" s="440"/>
      <c r="B279" s="356"/>
      <c r="C279" s="348"/>
      <c r="D279" s="331"/>
      <c r="E279" s="331"/>
      <c r="F279" s="356"/>
      <c r="G279" s="356"/>
      <c r="H279" s="356"/>
      <c r="I279" s="324"/>
      <c r="J279" s="324"/>
      <c r="K279" s="431"/>
    </row>
    <row r="280" spans="1:12">
      <c r="A280" s="440"/>
      <c r="B280" s="356"/>
      <c r="C280" s="348"/>
      <c r="D280" s="331"/>
      <c r="E280" s="331"/>
      <c r="F280" s="356"/>
      <c r="G280" s="356"/>
      <c r="H280" s="356"/>
      <c r="I280" s="324"/>
      <c r="J280" s="481"/>
      <c r="K280" s="431"/>
    </row>
    <row r="281" spans="1:12">
      <c r="A281" s="440"/>
      <c r="B281" s="356"/>
      <c r="C281" s="348"/>
      <c r="D281" s="331"/>
      <c r="E281" s="331"/>
      <c r="F281" s="356"/>
      <c r="G281" s="356"/>
      <c r="H281" s="356"/>
      <c r="I281" s="324"/>
      <c r="J281" s="324"/>
      <c r="K281" s="431"/>
    </row>
    <row r="282" spans="1:12" ht="17.45">
      <c r="A282" s="322"/>
      <c r="B282" s="447"/>
      <c r="C282" s="348"/>
      <c r="D282" s="465"/>
      <c r="E282" s="450"/>
      <c r="F282" s="447"/>
      <c r="G282" s="447"/>
      <c r="H282" s="447"/>
      <c r="I282" s="325"/>
      <c r="J282" s="325"/>
      <c r="K282" s="479"/>
      <c r="L282" s="449"/>
    </row>
    <row r="283" spans="1:12">
      <c r="A283" s="322"/>
      <c r="B283" s="447"/>
      <c r="C283" s="348"/>
      <c r="D283" s="331"/>
      <c r="E283" s="331"/>
      <c r="F283" s="447"/>
      <c r="G283" s="447"/>
      <c r="H283" s="447"/>
      <c r="I283" s="324"/>
      <c r="J283" s="324"/>
      <c r="K283" s="431"/>
    </row>
    <row r="284" spans="1:12">
      <c r="A284" s="322"/>
      <c r="B284" s="447"/>
      <c r="C284" s="348"/>
      <c r="D284" s="331"/>
      <c r="E284" s="331"/>
      <c r="F284" s="447"/>
      <c r="G284" s="447"/>
      <c r="H284" s="447"/>
      <c r="I284" s="324"/>
      <c r="J284" s="324"/>
      <c r="K284" s="431"/>
    </row>
    <row r="285" spans="1:12">
      <c r="A285" s="322"/>
      <c r="B285" s="447"/>
      <c r="C285" s="348"/>
      <c r="D285" s="331"/>
      <c r="E285" s="331"/>
      <c r="F285" s="447"/>
      <c r="G285" s="447"/>
      <c r="H285" s="447"/>
      <c r="I285" s="324"/>
      <c r="J285" s="324"/>
      <c r="K285" s="431"/>
    </row>
    <row r="286" spans="1:12">
      <c r="B286" s="447"/>
      <c r="C286" s="348"/>
      <c r="D286" s="331"/>
      <c r="E286" s="331"/>
      <c r="F286" s="447"/>
      <c r="G286" s="447"/>
      <c r="H286" s="447"/>
      <c r="I286" s="324"/>
      <c r="J286" s="324"/>
      <c r="K286" s="431"/>
    </row>
    <row r="287" spans="1:12">
      <c r="B287" s="447"/>
      <c r="C287" s="348"/>
      <c r="D287" s="331"/>
      <c r="E287" s="331"/>
      <c r="F287" s="447"/>
      <c r="G287" s="447"/>
      <c r="H287" s="447"/>
      <c r="I287" s="324"/>
      <c r="J287" s="324"/>
      <c r="K287" s="431"/>
    </row>
    <row r="288" spans="1:12">
      <c r="B288" s="447"/>
      <c r="C288" s="348"/>
      <c r="D288" s="331"/>
      <c r="E288" s="331"/>
      <c r="F288" s="447"/>
      <c r="G288" s="447"/>
      <c r="H288" s="447"/>
      <c r="I288" s="324"/>
      <c r="J288" s="324"/>
      <c r="K288" s="431"/>
    </row>
    <row r="289" spans="1:12">
      <c r="B289" s="447"/>
      <c r="C289" s="348"/>
      <c r="D289" s="331"/>
      <c r="E289" s="331"/>
      <c r="F289" s="447"/>
      <c r="G289" s="447"/>
      <c r="H289" s="447"/>
      <c r="I289" s="324"/>
      <c r="J289" s="324"/>
      <c r="K289" s="431"/>
    </row>
    <row r="290" spans="1:12">
      <c r="B290" s="447"/>
      <c r="C290" s="348"/>
      <c r="D290" s="331"/>
      <c r="E290" s="331"/>
      <c r="F290" s="447"/>
      <c r="G290" s="447"/>
      <c r="H290" s="447"/>
      <c r="I290" s="324"/>
      <c r="J290" s="324"/>
      <c r="K290" s="431"/>
    </row>
    <row r="291" spans="1:12" ht="17.45">
      <c r="A291" s="322"/>
      <c r="B291" s="447"/>
      <c r="C291" s="348"/>
      <c r="D291" s="465"/>
      <c r="E291" s="450"/>
      <c r="F291" s="447"/>
      <c r="G291" s="447"/>
      <c r="H291" s="447"/>
      <c r="I291" s="325"/>
      <c r="J291" s="325"/>
      <c r="K291" s="479"/>
      <c r="L291" s="449"/>
    </row>
    <row r="292" spans="1:12">
      <c r="A292" s="322"/>
      <c r="B292" s="447"/>
      <c r="C292" s="348"/>
      <c r="D292" s="331"/>
      <c r="E292" s="331"/>
      <c r="F292" s="447"/>
      <c r="G292" s="447"/>
      <c r="H292" s="447"/>
      <c r="I292" s="324"/>
      <c r="J292" s="324"/>
      <c r="K292" s="431"/>
    </row>
    <row r="293" spans="1:12">
      <c r="A293" s="322"/>
      <c r="B293" s="356"/>
      <c r="C293" s="348"/>
      <c r="D293" s="331"/>
      <c r="E293" s="331"/>
      <c r="F293" s="356"/>
      <c r="G293" s="356"/>
      <c r="H293" s="356"/>
      <c r="I293" s="324"/>
      <c r="J293" s="324"/>
      <c r="K293" s="431"/>
    </row>
    <row r="294" spans="1:12">
      <c r="A294" s="322"/>
      <c r="B294" s="356"/>
      <c r="C294" s="348"/>
      <c r="D294" s="331"/>
      <c r="E294" s="331"/>
      <c r="F294" s="356"/>
      <c r="G294" s="356"/>
      <c r="H294" s="356"/>
      <c r="I294" s="324"/>
      <c r="J294" s="324"/>
      <c r="K294" s="431"/>
    </row>
    <row r="295" spans="1:12">
      <c r="A295" s="446"/>
      <c r="B295" s="356"/>
      <c r="C295" s="348"/>
      <c r="D295" s="331"/>
      <c r="E295" s="331"/>
      <c r="F295" s="356"/>
      <c r="G295" s="356"/>
      <c r="H295" s="356"/>
      <c r="I295" s="324"/>
      <c r="J295" s="324"/>
      <c r="K295" s="431"/>
    </row>
    <row r="296" spans="1:12" ht="17.45">
      <c r="A296" s="322"/>
      <c r="B296" s="447"/>
      <c r="C296" s="348"/>
      <c r="D296" s="332"/>
      <c r="E296" s="450"/>
      <c r="F296" s="447"/>
      <c r="G296" s="447"/>
      <c r="H296" s="447"/>
      <c r="I296" s="325"/>
      <c r="J296" s="325"/>
      <c r="K296" s="479"/>
      <c r="L296" s="449"/>
    </row>
    <row r="297" spans="1:12">
      <c r="A297" s="322"/>
      <c r="B297" s="356"/>
      <c r="C297" s="348"/>
      <c r="D297" s="331"/>
      <c r="E297" s="331"/>
      <c r="F297" s="356"/>
      <c r="G297" s="356"/>
      <c r="H297" s="356"/>
      <c r="I297" s="324"/>
      <c r="J297" s="324"/>
      <c r="K297" s="431"/>
    </row>
    <row r="298" spans="1:12">
      <c r="A298" s="322"/>
      <c r="B298" s="356"/>
      <c r="C298" s="348"/>
      <c r="D298" s="331"/>
      <c r="E298" s="331"/>
      <c r="F298" s="356"/>
      <c r="G298" s="356"/>
      <c r="H298" s="356"/>
      <c r="I298" s="324"/>
      <c r="J298" s="324"/>
      <c r="K298" s="431"/>
    </row>
    <row r="299" spans="1:12">
      <c r="B299" s="356"/>
      <c r="C299" s="348"/>
      <c r="D299" s="331"/>
      <c r="E299" s="331"/>
      <c r="F299" s="356"/>
      <c r="G299" s="356"/>
      <c r="H299" s="356"/>
      <c r="I299" s="324"/>
      <c r="J299" s="324"/>
      <c r="K299" s="431"/>
    </row>
    <row r="300" spans="1:12">
      <c r="A300" s="482"/>
      <c r="B300" s="356"/>
      <c r="C300" s="348"/>
      <c r="D300" s="331"/>
      <c r="E300" s="331"/>
      <c r="F300" s="356"/>
      <c r="G300" s="356"/>
      <c r="H300" s="356"/>
      <c r="I300" s="324"/>
      <c r="J300" s="324"/>
      <c r="K300" s="431"/>
    </row>
    <row r="301" spans="1:12" ht="17.45">
      <c r="A301" s="483"/>
      <c r="B301" s="447"/>
      <c r="C301" s="348"/>
      <c r="D301" s="332"/>
      <c r="E301" s="332"/>
      <c r="F301" s="447"/>
      <c r="G301" s="447"/>
      <c r="H301" s="447"/>
      <c r="I301" s="325"/>
      <c r="J301" s="325"/>
      <c r="K301" s="479"/>
      <c r="L301" s="449"/>
    </row>
    <row r="302" spans="1:12">
      <c r="B302" s="356"/>
      <c r="C302" s="348"/>
      <c r="D302" s="331"/>
      <c r="E302" s="331"/>
      <c r="F302" s="356"/>
      <c r="G302" s="356"/>
      <c r="H302" s="356"/>
      <c r="I302" s="324"/>
      <c r="J302" s="324"/>
      <c r="K302" s="479"/>
    </row>
    <row r="303" spans="1:12">
      <c r="A303" s="483"/>
      <c r="B303" s="356"/>
      <c r="C303" s="348"/>
      <c r="D303" s="331"/>
      <c r="E303" s="331"/>
      <c r="F303" s="356"/>
      <c r="G303" s="356"/>
      <c r="H303" s="356"/>
      <c r="I303" s="324"/>
      <c r="J303" s="324"/>
      <c r="K303" s="479"/>
    </row>
    <row r="304" spans="1:12">
      <c r="B304" s="356"/>
      <c r="C304" s="348"/>
      <c r="D304" s="331"/>
      <c r="E304" s="331"/>
      <c r="F304" s="356"/>
      <c r="G304" s="356"/>
      <c r="H304" s="356"/>
      <c r="I304" s="324"/>
      <c r="J304" s="324"/>
      <c r="K304" s="479"/>
    </row>
    <row r="305" spans="1:11">
      <c r="A305" s="482"/>
      <c r="B305" s="356"/>
      <c r="C305" s="348"/>
      <c r="D305" s="331"/>
      <c r="E305" s="331"/>
      <c r="F305" s="356"/>
      <c r="G305" s="356"/>
      <c r="H305" s="356"/>
      <c r="I305" s="324"/>
      <c r="J305" s="324"/>
      <c r="K305" s="479"/>
    </row>
    <row r="306" spans="1:11">
      <c r="B306" s="356"/>
      <c r="C306" s="348"/>
      <c r="D306" s="331"/>
      <c r="E306" s="331"/>
      <c r="F306" s="356"/>
      <c r="G306" s="356"/>
      <c r="H306" s="356"/>
      <c r="I306" s="324"/>
      <c r="J306" s="324"/>
      <c r="K306" s="479"/>
    </row>
    <row r="307" spans="1:11">
      <c r="B307" s="356"/>
      <c r="C307" s="348"/>
      <c r="D307" s="331"/>
      <c r="E307" s="331"/>
      <c r="F307" s="356"/>
      <c r="G307" s="356"/>
      <c r="H307" s="356"/>
      <c r="I307" s="324"/>
      <c r="J307" s="324"/>
      <c r="K307" s="479"/>
    </row>
    <row r="308" spans="1:11" ht="17.45">
      <c r="A308" s="434"/>
      <c r="B308" s="447"/>
      <c r="C308" s="348"/>
      <c r="D308" s="459"/>
      <c r="E308" s="454"/>
      <c r="F308" s="447"/>
      <c r="G308" s="447"/>
      <c r="H308" s="447"/>
      <c r="I308" s="325"/>
      <c r="J308" s="325"/>
      <c r="K308" s="479"/>
    </row>
    <row r="309" spans="1:11">
      <c r="A309" s="440"/>
      <c r="B309" s="356"/>
      <c r="C309" s="348"/>
      <c r="D309" s="331"/>
      <c r="E309" s="331"/>
      <c r="F309" s="356"/>
      <c r="G309" s="356"/>
      <c r="H309" s="356"/>
      <c r="I309" s="324"/>
      <c r="J309" s="324"/>
      <c r="K309" s="479"/>
    </row>
    <row r="310" spans="1:11">
      <c r="A310" s="483"/>
      <c r="B310" s="356"/>
      <c r="C310" s="348"/>
      <c r="D310" s="331"/>
      <c r="E310" s="331"/>
      <c r="F310" s="356"/>
      <c r="G310" s="356"/>
      <c r="H310" s="356"/>
      <c r="I310" s="324"/>
      <c r="J310" s="324"/>
      <c r="K310" s="479"/>
    </row>
    <row r="311" spans="1:11">
      <c r="A311" s="451"/>
      <c r="B311" s="356"/>
      <c r="C311" s="348"/>
      <c r="D311" s="331"/>
      <c r="E311" s="331"/>
      <c r="F311" s="356"/>
      <c r="G311" s="356"/>
      <c r="H311" s="356"/>
      <c r="I311" s="324"/>
      <c r="J311" s="324"/>
      <c r="K311" s="479"/>
    </row>
    <row r="312" spans="1:11" ht="17.45">
      <c r="A312" s="322"/>
      <c r="B312" s="356"/>
      <c r="C312" s="348"/>
      <c r="D312" s="332"/>
      <c r="E312" s="332"/>
      <c r="F312" s="356"/>
      <c r="G312" s="356"/>
      <c r="H312" s="356"/>
      <c r="I312" s="325"/>
      <c r="J312" s="325"/>
      <c r="K312" s="479"/>
    </row>
    <row r="313" spans="1:11">
      <c r="B313" s="356"/>
      <c r="C313" s="348"/>
      <c r="D313" s="331"/>
      <c r="E313" s="331"/>
      <c r="F313" s="356"/>
      <c r="G313" s="356"/>
      <c r="H313" s="356"/>
      <c r="I313" s="324"/>
      <c r="J313" s="324"/>
      <c r="K313" s="479"/>
    </row>
    <row r="314" spans="1:11">
      <c r="A314" s="483"/>
      <c r="B314" s="356"/>
      <c r="C314" s="348"/>
      <c r="D314" s="331"/>
      <c r="E314" s="331"/>
      <c r="F314" s="356"/>
      <c r="G314" s="356"/>
      <c r="H314" s="356"/>
      <c r="I314" s="324"/>
      <c r="J314" s="324"/>
      <c r="K314" s="479"/>
    </row>
    <row r="315" spans="1:11">
      <c r="A315" s="456"/>
      <c r="B315" s="356"/>
      <c r="C315" s="348"/>
      <c r="D315" s="331"/>
      <c r="E315" s="331"/>
      <c r="F315" s="356"/>
      <c r="G315" s="356"/>
      <c r="H315" s="356"/>
      <c r="I315" s="324"/>
      <c r="J315" s="324"/>
      <c r="K315" s="431"/>
    </row>
    <row r="316" spans="1:11">
      <c r="A316" s="456"/>
      <c r="B316" s="356"/>
      <c r="C316" s="348"/>
      <c r="D316" s="331"/>
      <c r="E316" s="331"/>
      <c r="F316" s="356"/>
      <c r="G316" s="356"/>
      <c r="H316" s="356"/>
      <c r="I316" s="324"/>
      <c r="J316" s="324"/>
      <c r="K316" s="431"/>
    </row>
    <row r="317" spans="1:11" ht="17.45">
      <c r="A317" s="483"/>
      <c r="B317" s="447"/>
      <c r="C317" s="348"/>
      <c r="D317" s="332"/>
      <c r="E317" s="454"/>
      <c r="F317" s="447"/>
      <c r="G317" s="447"/>
      <c r="H317" s="447"/>
      <c r="I317" s="325"/>
      <c r="J317" s="325"/>
      <c r="K317" s="431"/>
    </row>
    <row r="318" spans="1:11">
      <c r="A318" s="483"/>
      <c r="B318" s="356"/>
      <c r="C318" s="348"/>
      <c r="D318" s="331"/>
      <c r="E318" s="331"/>
      <c r="F318" s="356"/>
      <c r="G318" s="356"/>
      <c r="H318" s="356"/>
      <c r="I318" s="324"/>
      <c r="J318" s="324"/>
      <c r="K318" s="431"/>
    </row>
    <row r="319" spans="1:11">
      <c r="A319" s="483"/>
      <c r="B319" s="356"/>
      <c r="C319" s="348"/>
      <c r="D319" s="331"/>
      <c r="E319" s="331"/>
      <c r="F319" s="356"/>
      <c r="G319" s="356"/>
      <c r="H319" s="356"/>
      <c r="I319" s="324"/>
      <c r="J319" s="324"/>
      <c r="K319" s="431"/>
    </row>
    <row r="320" spans="1:11">
      <c r="A320" s="482"/>
      <c r="B320" s="356"/>
      <c r="C320" s="348"/>
      <c r="D320" s="331"/>
      <c r="E320" s="331"/>
      <c r="F320" s="356"/>
      <c r="G320" s="356"/>
      <c r="H320" s="356"/>
      <c r="I320" s="324"/>
      <c r="J320" s="324"/>
      <c r="K320" s="431"/>
    </row>
    <row r="321" spans="1:11">
      <c r="A321" s="482"/>
      <c r="B321" s="356"/>
      <c r="C321" s="348"/>
      <c r="D321" s="331"/>
      <c r="E321" s="331"/>
      <c r="F321" s="356"/>
      <c r="G321" s="356"/>
      <c r="H321" s="356"/>
      <c r="I321" s="324"/>
      <c r="J321" s="324"/>
      <c r="K321" s="431"/>
    </row>
    <row r="322" spans="1:11">
      <c r="A322" s="482"/>
      <c r="B322" s="356"/>
      <c r="C322" s="348"/>
      <c r="D322" s="331"/>
      <c r="E322" s="331"/>
      <c r="F322" s="356"/>
      <c r="G322" s="356"/>
      <c r="H322" s="356"/>
      <c r="I322" s="324"/>
      <c r="J322" s="324"/>
      <c r="K322" s="431"/>
    </row>
    <row r="323" spans="1:11">
      <c r="A323" s="482"/>
      <c r="B323" s="356"/>
      <c r="C323" s="348"/>
      <c r="D323" s="331"/>
      <c r="E323" s="331"/>
      <c r="F323" s="356"/>
      <c r="G323" s="356"/>
      <c r="H323" s="356"/>
      <c r="I323" s="324"/>
      <c r="J323" s="324"/>
      <c r="K323" s="431"/>
    </row>
    <row r="324" spans="1:11">
      <c r="A324" s="482"/>
      <c r="B324" s="356"/>
      <c r="C324" s="348"/>
      <c r="D324" s="331"/>
      <c r="E324" s="331"/>
      <c r="F324" s="356"/>
      <c r="G324" s="356"/>
      <c r="H324" s="356"/>
      <c r="I324" s="324"/>
      <c r="J324" s="324"/>
      <c r="K324" s="431"/>
    </row>
    <row r="325" spans="1:11" ht="17.45">
      <c r="A325" s="483"/>
      <c r="B325" s="447"/>
      <c r="C325" s="348"/>
      <c r="D325" s="465"/>
      <c r="E325" s="450"/>
      <c r="F325" s="447"/>
      <c r="G325" s="447"/>
      <c r="H325" s="447"/>
      <c r="I325" s="325"/>
      <c r="J325" s="325"/>
      <c r="K325" s="431"/>
    </row>
    <row r="326" spans="1:11">
      <c r="A326" s="483"/>
      <c r="B326" s="356"/>
      <c r="C326" s="348"/>
      <c r="D326" s="331"/>
      <c r="E326" s="331"/>
      <c r="F326" s="356"/>
      <c r="G326" s="356"/>
      <c r="H326" s="356"/>
      <c r="I326" s="324"/>
      <c r="J326" s="324"/>
      <c r="K326" s="431"/>
    </row>
    <row r="327" spans="1:11">
      <c r="A327" s="483"/>
      <c r="B327" s="356"/>
      <c r="C327" s="348"/>
      <c r="D327" s="331"/>
      <c r="E327" s="331"/>
      <c r="F327" s="356"/>
      <c r="G327" s="356"/>
      <c r="H327" s="356"/>
      <c r="I327" s="324"/>
      <c r="J327" s="324"/>
      <c r="K327" s="431"/>
    </row>
    <row r="328" spans="1:11">
      <c r="A328" s="440"/>
      <c r="B328" s="356"/>
      <c r="C328" s="348"/>
      <c r="D328" s="331"/>
      <c r="E328" s="331"/>
      <c r="F328" s="356"/>
      <c r="G328" s="356"/>
      <c r="H328" s="356"/>
      <c r="I328" s="324"/>
      <c r="J328" s="324"/>
      <c r="K328" s="431"/>
    </row>
    <row r="329" spans="1:11">
      <c r="A329" s="440"/>
      <c r="B329" s="356"/>
      <c r="C329" s="348"/>
      <c r="D329" s="331"/>
      <c r="E329" s="331"/>
      <c r="F329" s="356"/>
      <c r="G329" s="356"/>
      <c r="H329" s="356"/>
      <c r="I329" s="324"/>
      <c r="J329" s="324"/>
      <c r="K329" s="431"/>
    </row>
    <row r="330" spans="1:11">
      <c r="A330" s="440"/>
      <c r="B330" s="356"/>
      <c r="C330" s="348"/>
      <c r="D330" s="331"/>
      <c r="E330" s="331"/>
      <c r="F330" s="356"/>
      <c r="G330" s="356"/>
      <c r="H330" s="356"/>
      <c r="I330" s="324"/>
      <c r="J330" s="324"/>
      <c r="K330" s="431"/>
    </row>
    <row r="331" spans="1:11">
      <c r="A331" s="440"/>
      <c r="B331" s="356"/>
      <c r="C331" s="348"/>
      <c r="D331" s="331"/>
      <c r="E331" s="331"/>
      <c r="F331" s="356"/>
      <c r="G331" s="356"/>
      <c r="H331" s="356"/>
      <c r="I331" s="324"/>
      <c r="J331" s="324"/>
      <c r="K331" s="431"/>
    </row>
    <row r="332" spans="1:11">
      <c r="A332" s="440"/>
      <c r="B332" s="356"/>
      <c r="C332" s="348"/>
      <c r="D332" s="331"/>
      <c r="E332" s="331"/>
      <c r="F332" s="356"/>
      <c r="G332" s="356"/>
      <c r="H332" s="356"/>
      <c r="I332" s="324"/>
      <c r="J332" s="324"/>
      <c r="K332" s="431"/>
    </row>
    <row r="333" spans="1:11">
      <c r="A333" s="440"/>
      <c r="B333" s="356"/>
      <c r="C333" s="348"/>
      <c r="D333" s="331"/>
      <c r="E333" s="331"/>
      <c r="F333" s="356"/>
      <c r="G333" s="356"/>
      <c r="H333" s="356"/>
      <c r="I333" s="324"/>
      <c r="J333" s="324"/>
      <c r="K333" s="431"/>
    </row>
    <row r="334" spans="1:11">
      <c r="A334" s="446"/>
      <c r="B334" s="356"/>
      <c r="C334" s="348"/>
      <c r="D334" s="331"/>
      <c r="E334" s="331"/>
      <c r="F334" s="356"/>
      <c r="G334" s="356"/>
      <c r="H334" s="356"/>
      <c r="I334" s="324"/>
      <c r="J334" s="324"/>
      <c r="K334" s="431"/>
    </row>
    <row r="335" spans="1:11" ht="17.45">
      <c r="A335" s="426"/>
      <c r="B335" s="447"/>
      <c r="C335" s="348"/>
      <c r="D335" s="332"/>
      <c r="E335" s="332"/>
      <c r="F335" s="447"/>
      <c r="G335" s="447"/>
      <c r="H335" s="447"/>
      <c r="I335" s="325"/>
      <c r="J335" s="325"/>
      <c r="K335" s="431"/>
    </row>
    <row r="336" spans="1:11">
      <c r="A336" s="426"/>
      <c r="B336" s="356"/>
      <c r="C336" s="348"/>
      <c r="D336" s="331"/>
      <c r="E336" s="331"/>
      <c r="F336" s="356"/>
      <c r="G336" s="356"/>
      <c r="H336" s="356"/>
      <c r="I336" s="324"/>
      <c r="J336" s="324"/>
      <c r="K336" s="431"/>
    </row>
    <row r="337" spans="1:11">
      <c r="A337" s="483"/>
      <c r="B337" s="356"/>
      <c r="C337" s="348"/>
      <c r="D337" s="331"/>
      <c r="E337" s="331"/>
      <c r="F337" s="356"/>
      <c r="G337" s="356"/>
      <c r="H337" s="356"/>
      <c r="I337" s="324"/>
      <c r="J337" s="324"/>
      <c r="K337" s="431"/>
    </row>
    <row r="338" spans="1:11">
      <c r="A338" s="468"/>
      <c r="B338" s="356"/>
      <c r="C338" s="348"/>
      <c r="D338" s="331"/>
      <c r="E338" s="331"/>
      <c r="F338" s="356"/>
      <c r="G338" s="356"/>
      <c r="H338" s="356"/>
      <c r="I338" s="324"/>
      <c r="J338" s="324"/>
      <c r="K338" s="431"/>
    </row>
    <row r="339" spans="1:11">
      <c r="A339" s="456"/>
      <c r="B339" s="356"/>
      <c r="C339" s="348"/>
      <c r="D339" s="331"/>
      <c r="E339" s="331"/>
      <c r="F339" s="356"/>
      <c r="G339" s="356"/>
      <c r="H339" s="356"/>
      <c r="I339" s="324"/>
      <c r="J339" s="324"/>
      <c r="K339" s="431"/>
    </row>
    <row r="340" spans="1:11">
      <c r="A340" s="446"/>
      <c r="B340" s="356"/>
      <c r="C340" s="348"/>
      <c r="D340" s="331"/>
      <c r="E340" s="331"/>
      <c r="F340" s="356"/>
      <c r="G340" s="356"/>
      <c r="H340" s="356"/>
      <c r="I340" s="324"/>
      <c r="J340" s="324"/>
      <c r="K340" s="431"/>
    </row>
    <row r="341" spans="1:11">
      <c r="A341" s="446"/>
      <c r="B341" s="356"/>
      <c r="C341" s="348"/>
      <c r="D341" s="331"/>
      <c r="E341" s="331"/>
      <c r="F341" s="356"/>
      <c r="G341" s="356"/>
      <c r="H341" s="356"/>
      <c r="I341" s="324"/>
      <c r="J341" s="324"/>
      <c r="K341" s="431"/>
    </row>
    <row r="342" spans="1:11">
      <c r="A342" s="446"/>
      <c r="B342" s="356"/>
      <c r="C342" s="348"/>
      <c r="D342" s="331"/>
      <c r="E342" s="331"/>
      <c r="F342" s="356"/>
      <c r="G342" s="356"/>
      <c r="H342" s="356"/>
      <c r="I342" s="324"/>
      <c r="J342" s="324"/>
      <c r="K342" s="431"/>
    </row>
    <row r="343" spans="1:11">
      <c r="A343" s="446"/>
      <c r="B343" s="356"/>
      <c r="C343" s="348"/>
      <c r="D343" s="331"/>
      <c r="E343" s="331"/>
      <c r="F343" s="356"/>
      <c r="G343" s="356"/>
      <c r="H343" s="356"/>
      <c r="I343" s="324"/>
      <c r="J343" s="324"/>
      <c r="K343" s="431"/>
    </row>
    <row r="344" spans="1:11">
      <c r="A344" s="446"/>
      <c r="B344" s="356"/>
      <c r="C344" s="348"/>
      <c r="D344" s="331"/>
      <c r="E344" s="331"/>
      <c r="F344" s="356"/>
      <c r="G344" s="356"/>
      <c r="H344" s="356"/>
      <c r="I344" s="324"/>
      <c r="J344" s="324"/>
      <c r="K344" s="431"/>
    </row>
    <row r="345" spans="1:11">
      <c r="A345" s="446"/>
      <c r="B345" s="356"/>
      <c r="C345" s="348"/>
      <c r="D345" s="331"/>
      <c r="E345" s="331"/>
      <c r="F345" s="356"/>
      <c r="G345" s="356"/>
      <c r="H345" s="356"/>
      <c r="I345" s="324"/>
      <c r="J345" s="324"/>
      <c r="K345" s="431"/>
    </row>
    <row r="346" spans="1:11" ht="17.45">
      <c r="A346" s="426"/>
      <c r="B346" s="447"/>
      <c r="C346" s="348"/>
      <c r="D346" s="332"/>
      <c r="E346" s="332"/>
      <c r="F346" s="447"/>
      <c r="G346" s="447"/>
      <c r="H346" s="447"/>
      <c r="I346" s="325"/>
      <c r="J346" s="325"/>
      <c r="K346" s="431"/>
    </row>
    <row r="347" spans="1:11">
      <c r="A347" s="446"/>
      <c r="B347" s="356"/>
      <c r="C347" s="348"/>
      <c r="D347" s="331"/>
      <c r="E347" s="331"/>
      <c r="F347" s="356"/>
      <c r="G347" s="356"/>
      <c r="H347" s="356"/>
      <c r="I347" s="324"/>
      <c r="J347" s="324"/>
      <c r="K347" s="431"/>
    </row>
    <row r="348" spans="1:11">
      <c r="A348" s="426"/>
      <c r="B348" s="356"/>
      <c r="C348" s="348"/>
      <c r="D348" s="331"/>
      <c r="E348" s="331"/>
      <c r="F348" s="356"/>
      <c r="G348" s="356"/>
      <c r="H348" s="356"/>
      <c r="I348" s="324"/>
      <c r="J348" s="324"/>
      <c r="K348" s="431"/>
    </row>
    <row r="349" spans="1:11">
      <c r="A349" s="482"/>
      <c r="B349" s="356"/>
      <c r="C349" s="348"/>
      <c r="D349" s="331"/>
      <c r="E349" s="331"/>
      <c r="F349" s="356"/>
      <c r="G349" s="356"/>
      <c r="H349" s="356"/>
      <c r="I349" s="324"/>
      <c r="J349" s="324"/>
      <c r="K349" s="431"/>
    </row>
    <row r="350" spans="1:11">
      <c r="B350" s="356"/>
      <c r="C350" s="348"/>
      <c r="D350" s="331"/>
      <c r="E350" s="331"/>
      <c r="F350" s="356"/>
      <c r="G350" s="356"/>
      <c r="H350" s="356"/>
      <c r="I350" s="324"/>
      <c r="J350" s="324"/>
      <c r="K350" s="431"/>
    </row>
    <row r="351" spans="1:11">
      <c r="B351" s="356"/>
      <c r="C351" s="348"/>
      <c r="D351" s="331"/>
      <c r="E351" s="331"/>
      <c r="F351" s="356"/>
      <c r="G351" s="356"/>
      <c r="H351" s="356"/>
      <c r="I351" s="324"/>
      <c r="J351" s="324"/>
      <c r="K351" s="431"/>
    </row>
    <row r="352" spans="1:11" ht="17.45">
      <c r="A352" s="426"/>
      <c r="B352" s="447"/>
      <c r="C352" s="348"/>
      <c r="D352" s="332"/>
      <c r="E352" s="332"/>
      <c r="F352" s="447"/>
      <c r="G352" s="447"/>
      <c r="H352" s="447"/>
      <c r="I352" s="325"/>
      <c r="J352" s="325"/>
      <c r="K352" s="431"/>
    </row>
    <row r="353" spans="1:11">
      <c r="A353" s="426"/>
      <c r="B353" s="356"/>
      <c r="C353" s="348"/>
      <c r="D353" s="331"/>
      <c r="E353" s="331"/>
      <c r="F353" s="356"/>
      <c r="G353" s="356"/>
      <c r="H353" s="356"/>
      <c r="I353" s="324"/>
      <c r="J353" s="324"/>
      <c r="K353" s="431"/>
    </row>
    <row r="354" spans="1:11">
      <c r="A354" s="483"/>
      <c r="B354" s="356"/>
      <c r="C354" s="348"/>
      <c r="D354" s="331"/>
      <c r="E354" s="331"/>
      <c r="F354" s="356"/>
      <c r="G354" s="356"/>
      <c r="H354" s="356"/>
      <c r="I354" s="324"/>
      <c r="J354" s="324"/>
      <c r="K354" s="431"/>
    </row>
    <row r="355" spans="1:11" ht="18">
      <c r="A355" s="484"/>
      <c r="B355" s="356"/>
      <c r="C355" s="348"/>
      <c r="D355" s="331"/>
      <c r="E355" s="331"/>
      <c r="F355" s="356"/>
      <c r="G355" s="356"/>
      <c r="H355" s="356"/>
      <c r="I355" s="324"/>
      <c r="J355" s="324"/>
      <c r="K355" s="431"/>
    </row>
    <row r="356" spans="1:11" ht="18">
      <c r="A356" s="484"/>
      <c r="B356" s="356"/>
      <c r="C356" s="348"/>
      <c r="D356" s="331"/>
      <c r="E356" s="331"/>
      <c r="F356" s="356"/>
      <c r="G356" s="356"/>
      <c r="H356" s="356"/>
      <c r="I356" s="324"/>
      <c r="J356" s="324"/>
      <c r="K356" s="431"/>
    </row>
    <row r="357" spans="1:11" ht="18">
      <c r="A357" s="484"/>
      <c r="B357" s="356"/>
      <c r="C357" s="348"/>
      <c r="D357" s="331"/>
      <c r="E357" s="331"/>
      <c r="F357" s="356"/>
      <c r="G357" s="356"/>
      <c r="H357" s="356"/>
      <c r="I357" s="324"/>
      <c r="J357" s="324"/>
      <c r="K357" s="431"/>
    </row>
    <row r="358" spans="1:11" ht="18">
      <c r="A358" s="484"/>
      <c r="B358" s="356"/>
      <c r="C358" s="348"/>
      <c r="D358" s="331"/>
      <c r="E358" s="331"/>
      <c r="F358" s="356"/>
      <c r="G358" s="356"/>
      <c r="H358" s="356"/>
      <c r="I358" s="324"/>
      <c r="J358" s="324"/>
      <c r="K358" s="431"/>
    </row>
    <row r="359" spans="1:11" ht="18">
      <c r="A359" s="484"/>
      <c r="B359" s="356"/>
      <c r="C359" s="348"/>
      <c r="D359" s="331"/>
      <c r="E359" s="331"/>
      <c r="F359" s="356"/>
      <c r="G359" s="356"/>
      <c r="H359" s="356"/>
      <c r="I359" s="324"/>
      <c r="J359" s="324"/>
      <c r="K359" s="431"/>
    </row>
    <row r="360" spans="1:11" ht="18">
      <c r="A360" s="484"/>
      <c r="B360" s="356"/>
      <c r="C360" s="348"/>
      <c r="D360" s="331"/>
      <c r="E360" s="331"/>
      <c r="F360" s="356"/>
      <c r="G360" s="356"/>
      <c r="H360" s="356"/>
      <c r="I360" s="324"/>
      <c r="J360" s="324"/>
      <c r="K360" s="431"/>
    </row>
    <row r="361" spans="1:11" ht="18">
      <c r="A361" s="484"/>
      <c r="B361" s="356"/>
      <c r="C361" s="348"/>
      <c r="D361" s="331"/>
      <c r="E361" s="331"/>
      <c r="F361" s="356"/>
      <c r="G361" s="356"/>
      <c r="H361" s="356"/>
      <c r="I361" s="324"/>
      <c r="J361" s="324"/>
      <c r="K361" s="431"/>
    </row>
    <row r="362" spans="1:11">
      <c r="B362" s="356"/>
      <c r="C362" s="348"/>
      <c r="D362" s="331"/>
      <c r="E362" s="331"/>
      <c r="F362" s="356"/>
      <c r="G362" s="356"/>
      <c r="H362" s="356"/>
      <c r="I362" s="324"/>
      <c r="J362" s="324"/>
      <c r="K362" s="431"/>
    </row>
    <row r="363" spans="1:11">
      <c r="B363" s="356"/>
      <c r="C363" s="348"/>
      <c r="D363" s="331"/>
      <c r="E363" s="331"/>
      <c r="F363" s="356"/>
      <c r="G363" s="356"/>
      <c r="H363" s="356"/>
      <c r="I363" s="324"/>
      <c r="J363" s="324"/>
      <c r="K363" s="431"/>
    </row>
    <row r="364" spans="1:11">
      <c r="B364" s="356"/>
      <c r="C364" s="348"/>
      <c r="D364" s="331"/>
      <c r="E364" s="331"/>
      <c r="F364" s="356"/>
      <c r="G364" s="356"/>
      <c r="H364" s="356"/>
      <c r="I364" s="324"/>
      <c r="J364" s="324"/>
      <c r="K364" s="431"/>
    </row>
    <row r="365" spans="1:11">
      <c r="B365" s="356"/>
      <c r="C365" s="348"/>
      <c r="D365" s="331"/>
      <c r="E365" s="331"/>
      <c r="F365" s="356"/>
      <c r="G365" s="356"/>
      <c r="H365" s="356"/>
      <c r="I365" s="324"/>
      <c r="J365" s="324"/>
      <c r="K365" s="431"/>
    </row>
    <row r="366" spans="1:11" ht="18">
      <c r="A366" s="484"/>
      <c r="B366" s="356"/>
      <c r="C366" s="348"/>
      <c r="D366" s="331"/>
      <c r="E366" s="331"/>
      <c r="F366" s="356"/>
      <c r="G366" s="356"/>
      <c r="H366" s="356"/>
      <c r="I366" s="324"/>
      <c r="J366" s="324"/>
      <c r="K366" s="431"/>
    </row>
    <row r="367" spans="1:11" ht="17.45">
      <c r="A367" s="322"/>
      <c r="B367" s="447"/>
      <c r="C367" s="348"/>
      <c r="D367" s="467"/>
      <c r="E367" s="454"/>
      <c r="F367" s="447"/>
      <c r="G367" s="447"/>
      <c r="H367" s="447"/>
      <c r="I367" s="467"/>
      <c r="J367" s="467"/>
      <c r="K367" s="431"/>
    </row>
    <row r="368" spans="1:11">
      <c r="A368" s="322"/>
      <c r="B368" s="447"/>
      <c r="C368" s="348"/>
      <c r="D368" s="331"/>
      <c r="E368" s="331"/>
      <c r="F368" s="447"/>
      <c r="G368" s="447"/>
      <c r="H368" s="447"/>
      <c r="I368" s="324"/>
      <c r="J368" s="324"/>
      <c r="K368" s="431"/>
    </row>
    <row r="369" spans="1:12">
      <c r="A369" s="483"/>
      <c r="B369" s="447"/>
      <c r="C369" s="348"/>
      <c r="D369" s="331"/>
      <c r="E369" s="331"/>
      <c r="F369" s="356"/>
      <c r="G369" s="356"/>
      <c r="H369" s="356"/>
      <c r="I369" s="324"/>
      <c r="J369" s="324"/>
      <c r="K369" s="431"/>
    </row>
    <row r="370" spans="1:12">
      <c r="B370" s="356"/>
      <c r="C370" s="348"/>
      <c r="D370" s="331"/>
      <c r="E370" s="331"/>
      <c r="F370" s="356"/>
      <c r="G370" s="356"/>
      <c r="H370" s="356"/>
      <c r="I370" s="324"/>
      <c r="J370" s="324"/>
      <c r="K370" s="431"/>
    </row>
    <row r="371" spans="1:12">
      <c r="B371" s="356"/>
      <c r="C371" s="348"/>
      <c r="D371" s="331"/>
      <c r="E371" s="331"/>
      <c r="F371" s="356"/>
      <c r="G371" s="356"/>
      <c r="H371" s="356"/>
      <c r="I371" s="324"/>
      <c r="J371" s="324"/>
      <c r="K371" s="431"/>
    </row>
    <row r="372" spans="1:12">
      <c r="A372" s="482"/>
      <c r="B372" s="356"/>
      <c r="C372" s="348"/>
      <c r="D372" s="331"/>
      <c r="E372" s="331"/>
      <c r="F372" s="356"/>
      <c r="G372" s="356"/>
      <c r="H372" s="356"/>
      <c r="I372" s="324"/>
      <c r="J372" s="324"/>
      <c r="K372" s="431"/>
    </row>
    <row r="373" spans="1:12" ht="17.45">
      <c r="A373" s="434"/>
      <c r="B373" s="447"/>
      <c r="C373" s="348"/>
      <c r="D373" s="467"/>
      <c r="E373" s="467"/>
      <c r="F373" s="447"/>
      <c r="G373" s="447"/>
      <c r="H373" s="447"/>
      <c r="I373" s="467"/>
      <c r="J373" s="467"/>
      <c r="K373" s="431"/>
    </row>
    <row r="374" spans="1:12">
      <c r="A374" s="322"/>
      <c r="B374" s="356"/>
      <c r="C374" s="348"/>
      <c r="D374" s="331"/>
      <c r="E374" s="331"/>
      <c r="F374" s="447"/>
      <c r="G374" s="447"/>
      <c r="H374" s="447"/>
      <c r="I374" s="324"/>
      <c r="J374" s="324"/>
      <c r="K374" s="431"/>
    </row>
    <row r="375" spans="1:12">
      <c r="A375" s="483"/>
      <c r="B375" s="356"/>
      <c r="C375" s="348"/>
      <c r="D375" s="331"/>
      <c r="E375" s="331"/>
      <c r="F375" s="356"/>
      <c r="G375" s="356"/>
      <c r="H375" s="356"/>
      <c r="I375" s="324"/>
      <c r="J375" s="324"/>
      <c r="K375" s="431"/>
    </row>
    <row r="376" spans="1:12">
      <c r="A376" s="482"/>
      <c r="B376" s="356"/>
      <c r="C376" s="348"/>
      <c r="D376" s="331"/>
      <c r="E376" s="331"/>
      <c r="F376" s="356"/>
      <c r="G376" s="356"/>
      <c r="H376" s="356"/>
      <c r="I376" s="324"/>
      <c r="J376" s="324"/>
      <c r="K376" s="431"/>
    </row>
    <row r="377" spans="1:12">
      <c r="B377" s="356"/>
      <c r="C377" s="348"/>
      <c r="D377" s="331"/>
      <c r="E377" s="331"/>
      <c r="F377" s="356"/>
      <c r="G377" s="356"/>
      <c r="H377" s="356"/>
      <c r="I377" s="324"/>
      <c r="J377" s="324"/>
      <c r="K377" s="431"/>
    </row>
    <row r="378" spans="1:12" ht="17.45">
      <c r="A378" s="434"/>
      <c r="B378" s="447"/>
      <c r="C378" s="348"/>
      <c r="D378" s="467"/>
      <c r="E378" s="467"/>
      <c r="F378" s="447"/>
      <c r="G378" s="447"/>
      <c r="H378" s="447"/>
      <c r="I378" s="467"/>
      <c r="J378" s="467"/>
      <c r="K378" s="431"/>
    </row>
    <row r="379" spans="1:12">
      <c r="B379" s="356"/>
      <c r="C379" s="348"/>
      <c r="D379" s="331"/>
      <c r="E379" s="331"/>
      <c r="F379" s="356"/>
      <c r="G379" s="356"/>
      <c r="H379" s="356"/>
      <c r="I379" s="324"/>
      <c r="J379" s="324"/>
      <c r="K379" s="431"/>
    </row>
    <row r="380" spans="1:12">
      <c r="A380" s="426"/>
      <c r="B380" s="356"/>
      <c r="C380" s="348"/>
      <c r="D380" s="331"/>
      <c r="E380" s="331"/>
      <c r="F380" s="356"/>
      <c r="G380" s="356"/>
      <c r="H380" s="356"/>
      <c r="I380" s="324"/>
      <c r="J380" s="324"/>
      <c r="K380" s="431"/>
    </row>
    <row r="381" spans="1:12">
      <c r="A381" s="456"/>
      <c r="B381" s="356"/>
      <c r="C381" s="348"/>
      <c r="D381" s="331"/>
      <c r="E381" s="331"/>
      <c r="F381" s="356"/>
      <c r="G381" s="356"/>
      <c r="H381" s="356"/>
      <c r="I381" s="324"/>
      <c r="J381" s="324"/>
      <c r="K381" s="431"/>
    </row>
    <row r="382" spans="1:12">
      <c r="A382" s="446"/>
      <c r="B382" s="356"/>
      <c r="C382" s="348"/>
      <c r="D382" s="331"/>
      <c r="E382" s="331"/>
      <c r="F382" s="356"/>
      <c r="G382" s="356"/>
      <c r="H382" s="356"/>
      <c r="I382" s="324"/>
      <c r="J382" s="324"/>
      <c r="K382" s="431"/>
    </row>
    <row r="383" spans="1:12" ht="17.45">
      <c r="A383" s="426"/>
      <c r="B383" s="356"/>
      <c r="C383" s="348"/>
      <c r="D383" s="467"/>
      <c r="E383" s="454"/>
      <c r="F383" s="447"/>
      <c r="G383" s="447"/>
      <c r="H383" s="447"/>
      <c r="I383" s="467"/>
      <c r="J383" s="467"/>
      <c r="K383" s="431"/>
    </row>
    <row r="384" spans="1:12">
      <c r="A384" s="446"/>
      <c r="B384" s="356"/>
      <c r="C384" s="348"/>
      <c r="D384" s="331"/>
      <c r="E384" s="331"/>
      <c r="F384" s="356"/>
      <c r="G384" s="356"/>
      <c r="H384" s="356"/>
      <c r="I384" s="324"/>
      <c r="J384" s="324"/>
      <c r="K384" s="431"/>
    </row>
    <row r="385" spans="1:12">
      <c r="A385" s="426"/>
      <c r="B385" s="447"/>
      <c r="C385" s="348"/>
      <c r="D385" s="331"/>
      <c r="E385" s="331"/>
      <c r="F385" s="356"/>
      <c r="G385" s="356"/>
      <c r="H385" s="356"/>
      <c r="I385" s="324"/>
      <c r="J385" s="324"/>
      <c r="K385" s="431"/>
      <c r="L385" s="453"/>
    </row>
    <row r="386" spans="1:12">
      <c r="A386" s="446"/>
      <c r="B386" s="356"/>
      <c r="C386" s="348"/>
      <c r="D386" s="331"/>
      <c r="E386" s="331"/>
      <c r="F386" s="356"/>
      <c r="G386" s="356"/>
      <c r="H386" s="356"/>
      <c r="I386" s="324"/>
      <c r="J386" s="324"/>
      <c r="K386" s="431"/>
    </row>
    <row r="387" spans="1:12">
      <c r="A387" s="446"/>
      <c r="B387" s="356"/>
      <c r="C387" s="348"/>
      <c r="D387" s="331"/>
      <c r="E387" s="331"/>
      <c r="F387" s="356"/>
      <c r="G387" s="356"/>
      <c r="H387" s="356"/>
      <c r="I387" s="324"/>
      <c r="J387" s="324"/>
      <c r="K387" s="431"/>
    </row>
    <row r="388" spans="1:12">
      <c r="A388" s="446"/>
      <c r="B388" s="356"/>
      <c r="C388" s="348"/>
      <c r="D388" s="331"/>
      <c r="E388" s="331"/>
      <c r="F388" s="356"/>
      <c r="G388" s="356"/>
      <c r="H388" s="356"/>
      <c r="I388" s="324"/>
      <c r="J388" s="324"/>
      <c r="K388" s="431"/>
    </row>
    <row r="389" spans="1:12">
      <c r="A389" s="446"/>
      <c r="B389" s="356"/>
      <c r="C389" s="348"/>
      <c r="D389" s="331"/>
      <c r="E389" s="331"/>
      <c r="F389" s="356"/>
      <c r="G389" s="356"/>
      <c r="H389" s="356"/>
      <c r="I389" s="324"/>
      <c r="J389" s="324"/>
      <c r="K389" s="431"/>
    </row>
    <row r="390" spans="1:12" ht="17.45">
      <c r="A390" s="426"/>
      <c r="B390" s="356"/>
      <c r="C390" s="348"/>
      <c r="D390" s="332"/>
      <c r="E390" s="467"/>
      <c r="F390" s="447"/>
      <c r="G390" s="447"/>
      <c r="H390" s="447"/>
      <c r="I390" s="467"/>
      <c r="J390" s="467"/>
      <c r="K390" s="431"/>
    </row>
    <row r="391" spans="1:12">
      <c r="A391" s="446"/>
      <c r="B391" s="356"/>
      <c r="C391" s="348"/>
      <c r="D391" s="331"/>
      <c r="E391" s="331"/>
      <c r="F391" s="356"/>
      <c r="G391" s="356"/>
      <c r="H391" s="356"/>
      <c r="I391" s="324"/>
      <c r="J391" s="324"/>
      <c r="K391" s="431"/>
    </row>
    <row r="392" spans="1:12">
      <c r="A392" s="485"/>
      <c r="B392" s="356"/>
      <c r="C392" s="348"/>
      <c r="D392" s="331"/>
      <c r="E392" s="331"/>
      <c r="F392" s="356"/>
      <c r="G392" s="356"/>
      <c r="H392" s="356"/>
      <c r="I392" s="324"/>
      <c r="J392" s="324"/>
      <c r="K392" s="431"/>
    </row>
    <row r="393" spans="1:12">
      <c r="A393" s="440"/>
      <c r="B393" s="356"/>
      <c r="C393" s="348"/>
      <c r="D393" s="331"/>
      <c r="E393" s="331"/>
      <c r="F393" s="356"/>
      <c r="G393" s="356"/>
      <c r="H393" s="356"/>
      <c r="I393" s="324"/>
      <c r="J393" s="324"/>
      <c r="K393" s="431"/>
    </row>
    <row r="394" spans="1:12">
      <c r="A394" s="440"/>
      <c r="B394" s="356"/>
      <c r="C394" s="348"/>
      <c r="D394" s="331"/>
      <c r="E394" s="331"/>
      <c r="F394" s="356"/>
      <c r="G394" s="356"/>
      <c r="H394" s="356"/>
      <c r="I394" s="324"/>
      <c r="J394" s="324"/>
      <c r="K394" s="431"/>
    </row>
    <row r="395" spans="1:12">
      <c r="A395" s="451"/>
      <c r="B395" s="356"/>
      <c r="C395" s="348"/>
      <c r="D395" s="331"/>
      <c r="E395" s="331"/>
      <c r="F395" s="356"/>
      <c r="G395" s="356"/>
      <c r="H395" s="356"/>
      <c r="I395" s="324"/>
      <c r="J395" s="324"/>
      <c r="K395" s="431"/>
    </row>
    <row r="396" spans="1:12">
      <c r="A396" s="451"/>
      <c r="B396" s="356"/>
      <c r="C396" s="348"/>
      <c r="D396" s="331"/>
      <c r="E396" s="331"/>
      <c r="F396" s="356"/>
      <c r="G396" s="356"/>
      <c r="H396" s="356"/>
      <c r="I396" s="324"/>
      <c r="J396" s="324"/>
      <c r="K396" s="431"/>
    </row>
    <row r="397" spans="1:12">
      <c r="A397" s="440"/>
      <c r="B397" s="356"/>
      <c r="C397" s="348"/>
      <c r="D397" s="331"/>
      <c r="E397" s="331"/>
      <c r="F397" s="356"/>
      <c r="G397" s="356"/>
      <c r="H397" s="356"/>
      <c r="I397" s="324"/>
      <c r="J397" s="324"/>
      <c r="K397" s="431"/>
    </row>
    <row r="398" spans="1:12">
      <c r="A398" s="440"/>
      <c r="B398" s="356"/>
      <c r="C398" s="348"/>
      <c r="D398" s="331"/>
      <c r="E398" s="331"/>
      <c r="F398" s="356"/>
      <c r="G398" s="356"/>
      <c r="H398" s="356"/>
      <c r="I398" s="324"/>
      <c r="J398" s="324"/>
      <c r="K398" s="431"/>
    </row>
    <row r="399" spans="1:12">
      <c r="A399" s="440"/>
      <c r="B399" s="356"/>
      <c r="C399" s="348"/>
      <c r="D399" s="331"/>
      <c r="E399" s="331"/>
      <c r="F399" s="356"/>
      <c r="G399" s="356"/>
      <c r="H399" s="356"/>
      <c r="I399" s="324"/>
      <c r="J399" s="324"/>
      <c r="K399" s="431"/>
    </row>
    <row r="400" spans="1:12">
      <c r="A400" s="440"/>
      <c r="B400" s="356"/>
      <c r="C400" s="348"/>
      <c r="D400" s="331"/>
      <c r="E400" s="331"/>
      <c r="F400" s="356"/>
      <c r="G400" s="356"/>
      <c r="H400" s="356"/>
      <c r="I400" s="324"/>
      <c r="J400" s="324"/>
      <c r="K400" s="431"/>
    </row>
    <row r="401" spans="1:11">
      <c r="A401" s="440"/>
      <c r="B401" s="356"/>
      <c r="C401" s="348"/>
      <c r="D401" s="331"/>
      <c r="E401" s="331"/>
      <c r="F401" s="356"/>
      <c r="G401" s="356"/>
      <c r="H401" s="356"/>
      <c r="I401" s="324"/>
      <c r="J401" s="324"/>
      <c r="K401" s="431"/>
    </row>
    <row r="402" spans="1:11">
      <c r="A402" s="440"/>
      <c r="B402" s="447"/>
      <c r="C402" s="348"/>
      <c r="D402" s="331"/>
      <c r="E402" s="331"/>
      <c r="F402" s="356"/>
      <c r="G402" s="356"/>
      <c r="H402" s="356"/>
      <c r="I402" s="324"/>
      <c r="J402" s="324"/>
      <c r="K402" s="431"/>
    </row>
    <row r="403" spans="1:11">
      <c r="A403" s="486"/>
      <c r="B403" s="356"/>
      <c r="C403" s="348"/>
      <c r="D403" s="331"/>
      <c r="E403" s="331"/>
      <c r="F403" s="356"/>
      <c r="G403" s="356"/>
      <c r="H403" s="356"/>
      <c r="I403" s="324"/>
      <c r="J403" s="324"/>
      <c r="K403" s="431"/>
    </row>
    <row r="404" spans="1:11">
      <c r="A404" s="461"/>
      <c r="B404" s="356"/>
      <c r="C404" s="348"/>
      <c r="D404" s="331"/>
      <c r="E404" s="331"/>
      <c r="F404" s="356"/>
      <c r="G404" s="356"/>
      <c r="H404" s="356"/>
      <c r="I404" s="324"/>
      <c r="J404" s="324"/>
      <c r="K404" s="431"/>
    </row>
    <row r="405" spans="1:11">
      <c r="A405" s="461"/>
      <c r="B405" s="356"/>
      <c r="C405" s="348"/>
      <c r="D405" s="331"/>
      <c r="E405" s="331"/>
      <c r="F405" s="356"/>
      <c r="G405" s="356"/>
      <c r="H405" s="356"/>
      <c r="I405" s="324"/>
      <c r="J405" s="324"/>
      <c r="K405" s="431"/>
    </row>
    <row r="406" spans="1:11">
      <c r="A406" s="461"/>
      <c r="B406" s="356"/>
      <c r="C406" s="348"/>
      <c r="D406" s="331"/>
      <c r="E406" s="331"/>
      <c r="F406" s="356"/>
      <c r="G406" s="356"/>
      <c r="H406" s="356"/>
      <c r="I406" s="324"/>
      <c r="J406" s="324"/>
      <c r="K406" s="431"/>
    </row>
    <row r="407" spans="1:11" ht="17.45">
      <c r="A407" s="485"/>
      <c r="B407" s="356"/>
      <c r="C407" s="348"/>
      <c r="D407" s="467"/>
      <c r="E407" s="467"/>
      <c r="F407" s="447"/>
      <c r="G407" s="447"/>
      <c r="H407" s="447"/>
      <c r="I407" s="467"/>
      <c r="J407" s="467"/>
      <c r="K407" s="431"/>
    </row>
    <row r="408" spans="1:11">
      <c r="A408" s="446"/>
      <c r="B408" s="356"/>
      <c r="C408" s="348"/>
      <c r="D408" s="331"/>
      <c r="E408" s="331"/>
      <c r="F408" s="356"/>
      <c r="G408" s="356"/>
      <c r="H408" s="356"/>
      <c r="I408" s="324"/>
      <c r="J408" s="324"/>
      <c r="K408" s="431"/>
    </row>
    <row r="409" spans="1:11">
      <c r="A409" s="487"/>
      <c r="B409" s="356"/>
      <c r="C409" s="348"/>
      <c r="D409" s="331"/>
      <c r="E409" s="331"/>
      <c r="F409" s="356"/>
      <c r="G409" s="356"/>
      <c r="H409" s="356"/>
      <c r="I409" s="324"/>
      <c r="J409" s="324"/>
      <c r="K409" s="431"/>
    </row>
    <row r="410" spans="1:11">
      <c r="A410" s="451"/>
      <c r="B410" s="356"/>
      <c r="C410" s="348"/>
      <c r="D410" s="331"/>
      <c r="E410" s="331"/>
      <c r="F410" s="356"/>
      <c r="G410" s="356"/>
      <c r="H410" s="356"/>
      <c r="I410" s="324"/>
      <c r="J410" s="324"/>
      <c r="K410" s="431"/>
    </row>
    <row r="411" spans="1:11" ht="17.45">
      <c r="A411" s="440"/>
      <c r="B411" s="332"/>
      <c r="C411" s="348"/>
      <c r="D411" s="331"/>
      <c r="E411" s="331"/>
      <c r="F411" s="356"/>
      <c r="G411" s="356"/>
      <c r="H411" s="356"/>
      <c r="I411" s="324"/>
      <c r="J411" s="324"/>
      <c r="K411" s="431"/>
    </row>
    <row r="412" spans="1:11">
      <c r="A412" s="440"/>
      <c r="B412" s="356"/>
      <c r="C412" s="348"/>
      <c r="D412" s="331"/>
      <c r="E412" s="331"/>
      <c r="F412" s="356"/>
      <c r="G412" s="356"/>
      <c r="H412" s="356"/>
      <c r="I412" s="324"/>
      <c r="J412" s="324"/>
      <c r="K412" s="431"/>
    </row>
    <row r="413" spans="1:11">
      <c r="A413" s="446"/>
      <c r="B413" s="356"/>
      <c r="C413" s="348"/>
      <c r="D413" s="331"/>
      <c r="E413" s="331"/>
      <c r="F413" s="356"/>
      <c r="G413" s="356"/>
      <c r="H413" s="356"/>
      <c r="I413" s="324"/>
      <c r="J413" s="324"/>
      <c r="K413" s="431"/>
    </row>
    <row r="414" spans="1:11">
      <c r="A414" s="446"/>
      <c r="B414" s="356"/>
      <c r="C414" s="348"/>
      <c r="D414" s="331"/>
      <c r="E414" s="331"/>
      <c r="F414" s="356"/>
      <c r="G414" s="356"/>
      <c r="H414" s="356"/>
      <c r="I414" s="324"/>
      <c r="J414" s="324"/>
      <c r="K414" s="431"/>
    </row>
    <row r="415" spans="1:11">
      <c r="A415" s="446"/>
      <c r="B415" s="356"/>
      <c r="C415" s="348"/>
      <c r="D415" s="331"/>
      <c r="E415" s="331"/>
      <c r="F415" s="356"/>
      <c r="G415" s="356"/>
      <c r="H415" s="356"/>
      <c r="I415" s="324"/>
      <c r="J415" s="324"/>
      <c r="K415" s="431"/>
    </row>
    <row r="416" spans="1:11" ht="17.45">
      <c r="A416" s="487"/>
      <c r="B416" s="356"/>
      <c r="C416" s="348"/>
      <c r="D416" s="332"/>
      <c r="E416" s="467"/>
      <c r="F416" s="325"/>
      <c r="G416" s="325"/>
      <c r="H416" s="325"/>
      <c r="I416" s="467"/>
      <c r="J416" s="467"/>
      <c r="K416" s="431"/>
    </row>
    <row r="417" spans="1:11">
      <c r="A417" s="487"/>
      <c r="B417" s="356"/>
      <c r="C417" s="348"/>
      <c r="D417" s="331"/>
      <c r="E417" s="331"/>
      <c r="F417" s="356"/>
      <c r="G417" s="356"/>
      <c r="H417" s="356"/>
      <c r="I417" s="324"/>
      <c r="J417" s="324"/>
      <c r="K417" s="431"/>
    </row>
    <row r="418" spans="1:11">
      <c r="A418" s="434"/>
      <c r="B418" s="356"/>
      <c r="C418" s="348"/>
      <c r="D418" s="331"/>
      <c r="E418" s="331"/>
      <c r="F418" s="356"/>
      <c r="G418" s="356"/>
      <c r="H418" s="356"/>
      <c r="I418" s="324"/>
      <c r="J418" s="324"/>
      <c r="K418" s="431"/>
    </row>
    <row r="419" spans="1:11">
      <c r="A419" s="440"/>
      <c r="B419" s="356"/>
      <c r="C419" s="348"/>
      <c r="D419" s="331"/>
      <c r="E419" s="331"/>
      <c r="F419" s="356"/>
      <c r="G419" s="356"/>
      <c r="H419" s="356"/>
      <c r="I419" s="324"/>
      <c r="J419" s="324"/>
      <c r="K419" s="431"/>
    </row>
    <row r="420" spans="1:11">
      <c r="A420" s="440"/>
      <c r="B420" s="356"/>
      <c r="C420" s="348"/>
      <c r="D420" s="331"/>
      <c r="E420" s="331"/>
      <c r="F420" s="356"/>
      <c r="G420" s="356"/>
      <c r="H420" s="356"/>
      <c r="I420" s="324"/>
      <c r="J420" s="324"/>
      <c r="K420" s="431"/>
    </row>
    <row r="421" spans="1:11">
      <c r="A421" s="440"/>
      <c r="B421" s="356"/>
      <c r="C421" s="348"/>
      <c r="D421" s="331"/>
      <c r="E421" s="331"/>
      <c r="F421" s="356"/>
      <c r="G421" s="356"/>
      <c r="H421" s="356"/>
      <c r="I421" s="324"/>
      <c r="J421" s="324"/>
      <c r="K421" s="431"/>
    </row>
    <row r="422" spans="1:11">
      <c r="A422" s="440"/>
      <c r="B422" s="356"/>
      <c r="C422" s="348"/>
      <c r="D422" s="331"/>
      <c r="E422" s="331"/>
      <c r="F422" s="356"/>
      <c r="G422" s="356"/>
      <c r="H422" s="356"/>
      <c r="I422" s="324"/>
      <c r="J422" s="324"/>
      <c r="K422" s="431"/>
    </row>
    <row r="423" spans="1:11">
      <c r="A423" s="440"/>
      <c r="B423" s="447"/>
      <c r="C423" s="348"/>
      <c r="D423" s="331"/>
      <c r="E423" s="331"/>
      <c r="F423" s="356"/>
      <c r="G423" s="356"/>
      <c r="H423" s="356"/>
      <c r="I423" s="324"/>
      <c r="J423" s="324"/>
      <c r="K423" s="431"/>
    </row>
    <row r="424" spans="1:11">
      <c r="A424" s="446"/>
      <c r="B424" s="356"/>
      <c r="C424" s="348"/>
      <c r="D424" s="331"/>
      <c r="E424" s="331"/>
      <c r="F424" s="356"/>
      <c r="G424" s="356"/>
      <c r="H424" s="356"/>
      <c r="I424" s="324"/>
      <c r="J424" s="324"/>
      <c r="K424" s="431"/>
    </row>
    <row r="425" spans="1:11">
      <c r="A425" s="446"/>
      <c r="B425" s="356"/>
      <c r="C425" s="348"/>
      <c r="D425" s="331"/>
      <c r="E425" s="331"/>
      <c r="F425" s="356"/>
      <c r="G425" s="356"/>
      <c r="H425" s="356"/>
      <c r="I425" s="324"/>
      <c r="J425" s="324"/>
      <c r="K425" s="431"/>
    </row>
    <row r="426" spans="1:11">
      <c r="A426" s="446"/>
      <c r="B426" s="356"/>
      <c r="C426" s="348"/>
      <c r="D426" s="331"/>
      <c r="E426" s="331"/>
      <c r="F426" s="356"/>
      <c r="G426" s="356"/>
      <c r="H426" s="356"/>
      <c r="I426" s="324"/>
      <c r="J426" s="324"/>
      <c r="K426" s="431"/>
    </row>
    <row r="427" spans="1:11">
      <c r="A427" s="446"/>
      <c r="B427" s="356"/>
      <c r="C427" s="348"/>
      <c r="D427" s="331"/>
      <c r="E427" s="331"/>
      <c r="F427" s="356"/>
      <c r="G427" s="356"/>
      <c r="H427" s="356"/>
      <c r="I427" s="324"/>
      <c r="J427" s="324"/>
      <c r="K427" s="431"/>
    </row>
    <row r="428" spans="1:11" ht="17.45">
      <c r="A428" s="434"/>
      <c r="B428" s="356"/>
      <c r="C428" s="348"/>
      <c r="D428" s="467"/>
      <c r="E428" s="467"/>
      <c r="F428" s="447"/>
      <c r="G428" s="447"/>
      <c r="H428" s="447"/>
      <c r="I428" s="467"/>
      <c r="J428" s="467"/>
      <c r="K428" s="431"/>
    </row>
    <row r="429" spans="1:11">
      <c r="A429" s="426"/>
      <c r="B429" s="356"/>
      <c r="C429" s="348"/>
      <c r="D429" s="331"/>
      <c r="E429" s="331"/>
      <c r="F429" s="356"/>
      <c r="G429" s="356"/>
      <c r="H429" s="356"/>
      <c r="I429" s="324"/>
      <c r="J429" s="324"/>
      <c r="K429" s="431"/>
    </row>
    <row r="430" spans="1:11">
      <c r="A430" s="445"/>
      <c r="B430" s="356"/>
      <c r="C430" s="348"/>
      <c r="D430" s="331"/>
      <c r="E430" s="331"/>
      <c r="F430" s="356"/>
      <c r="G430" s="356"/>
      <c r="H430" s="356"/>
      <c r="I430" s="324"/>
      <c r="J430" s="324"/>
      <c r="K430" s="431"/>
    </row>
    <row r="431" spans="1:11">
      <c r="A431" s="468"/>
      <c r="B431" s="356"/>
      <c r="C431" s="348"/>
      <c r="D431" s="331"/>
      <c r="E431" s="331"/>
      <c r="F431" s="356"/>
      <c r="G431" s="356"/>
      <c r="H431" s="356"/>
      <c r="I431" s="324"/>
      <c r="J431" s="324"/>
      <c r="K431" s="431"/>
    </row>
    <row r="432" spans="1:11">
      <c r="A432" s="468"/>
      <c r="B432" s="356"/>
      <c r="C432" s="348"/>
      <c r="D432" s="331"/>
      <c r="E432" s="331"/>
      <c r="F432" s="356"/>
      <c r="G432" s="356"/>
      <c r="H432" s="356"/>
      <c r="I432" s="324"/>
      <c r="J432" s="324"/>
      <c r="K432" s="431"/>
    </row>
    <row r="433" spans="1:11">
      <c r="A433" s="468"/>
      <c r="B433" s="447"/>
      <c r="C433" s="348"/>
      <c r="D433" s="331"/>
      <c r="E433" s="331"/>
      <c r="F433" s="356"/>
      <c r="G433" s="356"/>
      <c r="H433" s="356"/>
      <c r="I433" s="324"/>
      <c r="J433" s="324"/>
      <c r="K433" s="431"/>
    </row>
    <row r="434" spans="1:11">
      <c r="A434" s="468"/>
      <c r="B434" s="356"/>
      <c r="C434" s="348"/>
      <c r="D434" s="331"/>
      <c r="E434" s="331"/>
      <c r="F434" s="356"/>
      <c r="G434" s="356"/>
      <c r="H434" s="356"/>
      <c r="I434" s="324"/>
      <c r="J434" s="324"/>
      <c r="K434" s="431"/>
    </row>
    <row r="435" spans="1:11">
      <c r="A435" s="468"/>
      <c r="B435" s="356"/>
      <c r="C435" s="348"/>
      <c r="D435" s="331"/>
      <c r="E435" s="331"/>
      <c r="F435" s="356"/>
      <c r="G435" s="356"/>
      <c r="H435" s="356"/>
      <c r="I435" s="324"/>
      <c r="J435" s="324"/>
      <c r="K435" s="431"/>
    </row>
    <row r="436" spans="1:11">
      <c r="A436" s="468"/>
      <c r="B436" s="356"/>
      <c r="C436" s="348"/>
      <c r="D436" s="331"/>
      <c r="E436" s="331"/>
      <c r="F436" s="356"/>
      <c r="G436" s="356"/>
      <c r="H436" s="356"/>
      <c r="I436" s="324"/>
      <c r="J436" s="324"/>
      <c r="K436" s="431"/>
    </row>
    <row r="437" spans="1:11">
      <c r="A437" s="468"/>
      <c r="B437" s="356"/>
      <c r="C437" s="348"/>
      <c r="D437" s="331"/>
      <c r="E437" s="331"/>
      <c r="F437" s="356"/>
      <c r="G437" s="356"/>
      <c r="H437" s="356"/>
      <c r="I437" s="324"/>
      <c r="J437" s="324"/>
      <c r="K437" s="431"/>
    </row>
    <row r="438" spans="1:11" ht="17.45">
      <c r="A438" s="445"/>
      <c r="B438" s="447"/>
      <c r="C438" s="348"/>
      <c r="D438" s="467"/>
      <c r="E438" s="467"/>
      <c r="F438" s="447"/>
      <c r="G438" s="447"/>
      <c r="H438" s="447"/>
      <c r="I438" s="467"/>
      <c r="J438" s="467"/>
      <c r="K438" s="431"/>
    </row>
    <row r="439" spans="1:11">
      <c r="A439" s="440"/>
      <c r="B439" s="447"/>
      <c r="C439" s="348"/>
      <c r="D439" s="331"/>
      <c r="E439" s="331"/>
      <c r="F439" s="356"/>
      <c r="G439" s="356"/>
      <c r="H439" s="356"/>
      <c r="I439" s="324"/>
      <c r="J439" s="324"/>
      <c r="K439" s="431"/>
    </row>
    <row r="440" spans="1:11">
      <c r="A440" s="434"/>
      <c r="B440" s="447"/>
      <c r="C440" s="348"/>
      <c r="D440" s="331"/>
      <c r="E440" s="331"/>
      <c r="F440" s="356"/>
      <c r="G440" s="356"/>
      <c r="H440" s="356"/>
      <c r="I440" s="324"/>
      <c r="J440" s="324"/>
      <c r="K440" s="431"/>
    </row>
    <row r="441" spans="1:11">
      <c r="A441" s="468"/>
      <c r="B441" s="447"/>
      <c r="C441" s="348"/>
      <c r="D441" s="331"/>
      <c r="E441" s="331"/>
      <c r="F441" s="356"/>
      <c r="G441" s="356"/>
      <c r="H441" s="356"/>
      <c r="I441" s="324"/>
      <c r="J441" s="324"/>
      <c r="K441" s="431"/>
    </row>
    <row r="442" spans="1:11">
      <c r="A442" s="440"/>
      <c r="B442" s="488"/>
      <c r="C442" s="348"/>
      <c r="D442" s="331"/>
      <c r="E442" s="331"/>
      <c r="F442" s="356"/>
      <c r="G442" s="356"/>
      <c r="H442" s="356"/>
      <c r="I442" s="324"/>
      <c r="J442" s="324"/>
      <c r="K442" s="431"/>
    </row>
    <row r="443" spans="1:11" ht="17.45">
      <c r="A443" s="434"/>
      <c r="B443" s="488"/>
      <c r="C443" s="348"/>
      <c r="D443" s="332"/>
      <c r="E443" s="467"/>
      <c r="F443" s="447"/>
      <c r="G443" s="447"/>
      <c r="H443" s="447"/>
      <c r="I443" s="467"/>
      <c r="J443" s="467"/>
      <c r="K443" s="431"/>
    </row>
    <row r="444" spans="1:11">
      <c r="A444" s="434"/>
      <c r="B444" s="488"/>
      <c r="C444" s="348"/>
      <c r="D444" s="331"/>
      <c r="E444" s="331"/>
      <c r="F444" s="447"/>
      <c r="G444" s="447"/>
      <c r="H444" s="447"/>
      <c r="I444" s="324"/>
      <c r="J444" s="324"/>
      <c r="K444" s="431"/>
    </row>
    <row r="445" spans="1:11" ht="17.45">
      <c r="A445" s="434"/>
      <c r="B445" s="488"/>
      <c r="C445" s="348"/>
      <c r="D445" s="467"/>
      <c r="E445" s="467"/>
      <c r="F445" s="447"/>
      <c r="G445" s="447"/>
      <c r="H445" s="447"/>
      <c r="I445" s="467"/>
      <c r="J445" s="467"/>
      <c r="K445" s="431"/>
    </row>
    <row r="446" spans="1:11">
      <c r="A446" s="434"/>
      <c r="B446" s="356"/>
      <c r="C446" s="348"/>
      <c r="D446" s="331"/>
      <c r="E446" s="331"/>
      <c r="F446" s="447"/>
      <c r="G446" s="447"/>
      <c r="H446" s="447"/>
      <c r="I446" s="324"/>
      <c r="J446" s="324"/>
      <c r="K446" s="431"/>
    </row>
    <row r="447" spans="1:11" ht="17.45">
      <c r="A447" s="426"/>
      <c r="B447" s="356"/>
      <c r="C447" s="348"/>
      <c r="D447" s="467"/>
      <c r="E447" s="332"/>
      <c r="F447" s="488"/>
      <c r="G447" s="488"/>
      <c r="H447" s="488"/>
      <c r="I447" s="467"/>
      <c r="J447" s="467"/>
      <c r="K447" s="431"/>
    </row>
    <row r="448" spans="1:11">
      <c r="A448" s="426"/>
      <c r="B448" s="356"/>
      <c r="C448" s="348"/>
      <c r="D448" s="331"/>
      <c r="E448" s="331"/>
      <c r="F448" s="488"/>
      <c r="G448" s="488"/>
      <c r="H448" s="488"/>
      <c r="I448" s="324"/>
      <c r="J448" s="324"/>
      <c r="K448" s="431"/>
    </row>
    <row r="449" spans="1:11" ht="17.45">
      <c r="A449" s="426"/>
      <c r="B449" s="447"/>
      <c r="C449" s="348"/>
      <c r="D449" s="467"/>
      <c r="E449" s="332"/>
      <c r="F449" s="488"/>
      <c r="G449" s="488"/>
      <c r="H449" s="488"/>
      <c r="I449" s="467"/>
      <c r="J449" s="467"/>
      <c r="K449" s="431"/>
    </row>
    <row r="450" spans="1:11">
      <c r="A450" s="426"/>
      <c r="B450" s="356"/>
      <c r="C450" s="348"/>
      <c r="D450" s="331"/>
      <c r="E450" s="331"/>
      <c r="F450" s="488"/>
      <c r="G450" s="488"/>
      <c r="H450" s="488"/>
      <c r="I450" s="324"/>
      <c r="J450" s="324"/>
      <c r="K450" s="431"/>
    </row>
    <row r="451" spans="1:11">
      <c r="A451" s="426"/>
      <c r="B451" s="356"/>
      <c r="C451" s="348"/>
      <c r="D451" s="331"/>
      <c r="E451" s="331"/>
      <c r="F451" s="356"/>
      <c r="G451" s="356"/>
      <c r="H451" s="356"/>
      <c r="I451" s="324"/>
      <c r="J451" s="324"/>
      <c r="K451" s="431"/>
    </row>
    <row r="452" spans="1:11">
      <c r="A452" s="489"/>
      <c r="B452" s="356"/>
      <c r="C452" s="348"/>
      <c r="D452" s="331"/>
      <c r="E452" s="331"/>
      <c r="F452" s="356"/>
      <c r="G452" s="356"/>
      <c r="H452" s="356"/>
      <c r="I452" s="324"/>
      <c r="J452" s="324"/>
      <c r="K452" s="431"/>
    </row>
    <row r="453" spans="1:11">
      <c r="A453" s="440"/>
      <c r="B453" s="447"/>
      <c r="C453" s="348"/>
      <c r="D453" s="331"/>
      <c r="E453" s="331"/>
      <c r="F453" s="356"/>
      <c r="G453" s="356"/>
      <c r="H453" s="356"/>
      <c r="I453" s="324"/>
      <c r="J453" s="324"/>
      <c r="K453" s="431"/>
    </row>
    <row r="454" spans="1:11">
      <c r="A454" s="426"/>
      <c r="B454" s="356"/>
      <c r="C454" s="348"/>
      <c r="D454" s="331"/>
      <c r="E454" s="331"/>
      <c r="F454" s="447"/>
      <c r="G454" s="447"/>
      <c r="H454" s="447"/>
      <c r="I454" s="324"/>
      <c r="J454" s="324"/>
      <c r="K454" s="431"/>
    </row>
    <row r="455" spans="1:11">
      <c r="A455" s="426"/>
      <c r="B455" s="356"/>
      <c r="C455" s="348"/>
      <c r="D455" s="331"/>
      <c r="E455" s="331"/>
      <c r="F455" s="356"/>
      <c r="G455" s="356"/>
      <c r="H455" s="356"/>
      <c r="I455" s="324"/>
      <c r="J455" s="324"/>
      <c r="K455" s="431"/>
    </row>
    <row r="456" spans="1:11">
      <c r="A456" s="426"/>
      <c r="B456" s="356"/>
      <c r="C456" s="348"/>
      <c r="D456" s="331"/>
      <c r="E456" s="331"/>
      <c r="F456" s="356"/>
      <c r="G456" s="356"/>
      <c r="H456" s="356"/>
      <c r="I456" s="324"/>
      <c r="J456" s="324"/>
      <c r="K456" s="431"/>
    </row>
    <row r="457" spans="1:11">
      <c r="A457" s="440"/>
      <c r="B457" s="356"/>
      <c r="C457" s="348"/>
      <c r="D457" s="331"/>
      <c r="E457" s="331"/>
      <c r="F457" s="356"/>
      <c r="G457" s="356"/>
      <c r="H457" s="356"/>
      <c r="I457" s="324"/>
      <c r="J457" s="324"/>
      <c r="K457" s="431"/>
    </row>
    <row r="458" spans="1:11">
      <c r="A458" s="426"/>
      <c r="B458" s="356"/>
      <c r="C458" s="348"/>
      <c r="D458" s="331"/>
      <c r="E458" s="331"/>
      <c r="F458" s="447"/>
      <c r="G458" s="447"/>
      <c r="H458" s="447"/>
      <c r="I458" s="324"/>
      <c r="J458" s="324"/>
      <c r="K458" s="431"/>
    </row>
    <row r="459" spans="1:11">
      <c r="A459" s="426"/>
      <c r="B459" s="447"/>
      <c r="C459" s="348"/>
      <c r="D459" s="331"/>
      <c r="E459" s="331"/>
      <c r="F459" s="356"/>
      <c r="G459" s="356"/>
      <c r="H459" s="356"/>
      <c r="I459" s="324"/>
      <c r="J459" s="324"/>
      <c r="K459" s="431"/>
    </row>
    <row r="460" spans="1:11">
      <c r="A460" s="434"/>
      <c r="B460" s="356"/>
      <c r="C460" s="348"/>
      <c r="D460" s="331"/>
      <c r="E460" s="331"/>
      <c r="F460" s="356"/>
      <c r="G460" s="356"/>
      <c r="H460" s="356"/>
      <c r="I460" s="324"/>
      <c r="J460" s="324"/>
      <c r="K460" s="431"/>
    </row>
    <row r="461" spans="1:11" ht="17.45">
      <c r="A461" s="440"/>
      <c r="B461" s="332"/>
      <c r="C461" s="348"/>
      <c r="D461" s="331"/>
      <c r="E461" s="331"/>
      <c r="F461" s="356"/>
      <c r="G461" s="356"/>
      <c r="H461" s="356"/>
      <c r="I461" s="324"/>
      <c r="J461" s="324"/>
      <c r="K461" s="431"/>
    </row>
    <row r="462" spans="1:11">
      <c r="A462" s="440"/>
      <c r="B462" s="356"/>
      <c r="C462" s="348"/>
      <c r="D462" s="331"/>
      <c r="E462" s="331"/>
      <c r="F462" s="356"/>
      <c r="G462" s="356"/>
      <c r="H462" s="356"/>
      <c r="I462" s="324"/>
      <c r="J462" s="324"/>
      <c r="K462" s="431"/>
    </row>
    <row r="463" spans="1:11">
      <c r="A463" s="440"/>
      <c r="B463" s="356"/>
      <c r="C463" s="348"/>
      <c r="D463" s="331"/>
      <c r="E463" s="331"/>
      <c r="F463" s="356"/>
      <c r="G463" s="356"/>
      <c r="H463" s="356"/>
      <c r="I463" s="324"/>
      <c r="J463" s="324"/>
      <c r="K463" s="431"/>
    </row>
    <row r="464" spans="1:11">
      <c r="A464" s="426"/>
      <c r="B464" s="356"/>
      <c r="C464" s="348"/>
      <c r="D464" s="331"/>
      <c r="E464" s="331"/>
      <c r="F464" s="447"/>
      <c r="G464" s="447"/>
      <c r="H464" s="447"/>
      <c r="I464" s="324"/>
      <c r="J464" s="324"/>
      <c r="K464" s="431"/>
    </row>
    <row r="465" spans="1:11">
      <c r="A465" s="426"/>
      <c r="B465" s="356"/>
      <c r="C465" s="348"/>
      <c r="D465" s="331"/>
      <c r="E465" s="331"/>
      <c r="F465" s="356"/>
      <c r="G465" s="356"/>
      <c r="H465" s="356"/>
      <c r="I465" s="324"/>
      <c r="J465" s="324"/>
      <c r="K465" s="431"/>
    </row>
    <row r="466" spans="1:11" ht="17.45">
      <c r="A466" s="426"/>
      <c r="B466" s="356"/>
      <c r="C466" s="348"/>
      <c r="D466" s="331"/>
      <c r="E466" s="331"/>
      <c r="F466" s="332"/>
      <c r="G466" s="332"/>
      <c r="H466" s="332"/>
      <c r="I466" s="324"/>
      <c r="J466" s="324"/>
      <c r="K466" s="431"/>
    </row>
    <row r="467" spans="1:11">
      <c r="A467" s="426"/>
      <c r="B467" s="356"/>
      <c r="C467" s="348"/>
      <c r="D467" s="331"/>
      <c r="E467" s="331"/>
      <c r="F467" s="356"/>
      <c r="G467" s="356"/>
      <c r="H467" s="356"/>
      <c r="I467" s="324"/>
      <c r="J467" s="324"/>
      <c r="K467" s="431"/>
    </row>
    <row r="468" spans="1:11" ht="17.45">
      <c r="A468" s="426"/>
      <c r="B468" s="459"/>
      <c r="C468" s="348"/>
      <c r="D468" s="331"/>
      <c r="E468" s="331"/>
      <c r="F468" s="356"/>
      <c r="G468" s="356"/>
      <c r="H468" s="356"/>
      <c r="I468" s="324"/>
      <c r="J468" s="324"/>
      <c r="K468" s="431"/>
    </row>
    <row r="469" spans="1:11">
      <c r="A469" s="452"/>
      <c r="B469" s="356"/>
      <c r="C469" s="348"/>
      <c r="D469" s="331"/>
      <c r="E469" s="331"/>
      <c r="F469" s="356"/>
      <c r="G469" s="356"/>
      <c r="H469" s="356"/>
      <c r="I469" s="324"/>
      <c r="J469" s="324"/>
      <c r="K469" s="431"/>
    </row>
    <row r="470" spans="1:11">
      <c r="A470" s="446"/>
      <c r="B470" s="356"/>
      <c r="C470" s="348"/>
      <c r="D470" s="331"/>
      <c r="E470" s="331"/>
      <c r="F470" s="356"/>
      <c r="G470" s="356"/>
      <c r="H470" s="356"/>
      <c r="I470" s="324"/>
      <c r="J470" s="324"/>
      <c r="K470" s="431"/>
    </row>
    <row r="471" spans="1:11">
      <c r="A471" s="456"/>
      <c r="B471" s="356"/>
      <c r="C471" s="348"/>
      <c r="D471" s="331"/>
      <c r="E471" s="331"/>
      <c r="F471" s="356"/>
      <c r="G471" s="356"/>
      <c r="H471" s="356"/>
      <c r="I471" s="324"/>
      <c r="J471" s="324"/>
      <c r="K471" s="431"/>
    </row>
    <row r="472" spans="1:11">
      <c r="A472" s="440"/>
      <c r="B472" s="356"/>
      <c r="C472" s="348"/>
      <c r="D472" s="331"/>
      <c r="E472" s="331"/>
      <c r="F472" s="356"/>
      <c r="G472" s="356"/>
      <c r="H472" s="356"/>
      <c r="I472" s="324"/>
      <c r="J472" s="324"/>
      <c r="K472" s="431"/>
    </row>
    <row r="473" spans="1:11" ht="17.45">
      <c r="A473" s="434"/>
      <c r="B473" s="356"/>
      <c r="C473" s="348"/>
      <c r="D473" s="331"/>
      <c r="E473" s="331"/>
      <c r="F473" s="459"/>
      <c r="G473" s="356"/>
      <c r="H473" s="459"/>
      <c r="I473" s="324"/>
      <c r="J473" s="324"/>
      <c r="K473" s="431"/>
    </row>
    <row r="474" spans="1:11">
      <c r="A474" s="328"/>
      <c r="B474" s="447"/>
      <c r="C474" s="348"/>
      <c r="D474" s="331"/>
      <c r="E474" s="331"/>
      <c r="F474" s="356"/>
      <c r="G474" s="447"/>
      <c r="H474" s="356"/>
      <c r="I474" s="324"/>
      <c r="J474" s="324"/>
      <c r="K474" s="431"/>
    </row>
    <row r="475" spans="1:11">
      <c r="A475" s="434"/>
      <c r="B475" s="447"/>
      <c r="C475" s="348"/>
      <c r="D475" s="331"/>
      <c r="E475" s="331"/>
      <c r="F475" s="356"/>
      <c r="G475" s="447"/>
      <c r="H475" s="356"/>
      <c r="I475" s="324"/>
      <c r="J475" s="324"/>
      <c r="K475" s="431"/>
    </row>
    <row r="476" spans="1:11">
      <c r="A476" s="440"/>
      <c r="B476" s="436"/>
      <c r="C476" s="348"/>
      <c r="D476" s="331"/>
      <c r="E476" s="331"/>
      <c r="F476" s="356"/>
      <c r="G476" s="437"/>
      <c r="H476" s="356"/>
      <c r="I476" s="324"/>
      <c r="J476" s="324"/>
      <c r="K476" s="431"/>
    </row>
    <row r="477" spans="1:11">
      <c r="A477" s="446"/>
      <c r="B477" s="356"/>
      <c r="C477" s="348"/>
      <c r="D477" s="331"/>
      <c r="E477" s="331"/>
      <c r="F477" s="356"/>
      <c r="G477" s="356"/>
      <c r="H477" s="356"/>
      <c r="I477" s="324"/>
      <c r="J477" s="324"/>
      <c r="K477" s="431"/>
    </row>
    <row r="478" spans="1:11">
      <c r="A478" s="440"/>
      <c r="B478" s="356"/>
      <c r="C478" s="348"/>
      <c r="D478" s="331"/>
      <c r="E478" s="331"/>
      <c r="F478" s="356"/>
      <c r="G478" s="356"/>
      <c r="H478" s="356"/>
      <c r="I478" s="324"/>
      <c r="J478" s="324"/>
      <c r="K478" s="431"/>
    </row>
    <row r="479" spans="1:11">
      <c r="A479" s="426"/>
      <c r="B479" s="356"/>
      <c r="C479" s="348"/>
      <c r="D479" s="331"/>
      <c r="E479" s="331"/>
      <c r="F479" s="447"/>
      <c r="G479" s="356"/>
      <c r="H479" s="447"/>
      <c r="I479" s="324"/>
      <c r="J479" s="324"/>
      <c r="K479" s="431"/>
    </row>
    <row r="480" spans="1:11">
      <c r="A480" s="426"/>
      <c r="B480" s="356"/>
      <c r="C480" s="348"/>
      <c r="D480" s="331"/>
      <c r="E480" s="331"/>
      <c r="F480" s="447"/>
      <c r="G480" s="356"/>
      <c r="H480" s="447"/>
      <c r="I480" s="324"/>
      <c r="J480" s="324"/>
      <c r="K480" s="431"/>
    </row>
    <row r="481" spans="1:12" ht="17.45">
      <c r="A481" s="426"/>
      <c r="B481" s="356"/>
      <c r="C481" s="348"/>
      <c r="D481" s="332"/>
      <c r="E481" s="331"/>
      <c r="F481" s="437"/>
      <c r="G481" s="356"/>
      <c r="H481" s="437"/>
      <c r="I481" s="324"/>
      <c r="J481" s="324"/>
      <c r="K481" s="431"/>
    </row>
    <row r="482" spans="1:12">
      <c r="A482" s="426"/>
      <c r="B482" s="356"/>
      <c r="C482" s="348"/>
      <c r="D482" s="331"/>
      <c r="E482" s="331"/>
      <c r="F482" s="356"/>
      <c r="G482" s="356"/>
      <c r="H482" s="356"/>
      <c r="I482" s="324"/>
      <c r="J482" s="324"/>
      <c r="K482" s="431"/>
    </row>
    <row r="483" spans="1:12">
      <c r="A483" s="426"/>
      <c r="B483" s="356"/>
      <c r="C483" s="348"/>
      <c r="D483" s="331"/>
      <c r="E483" s="331"/>
      <c r="F483" s="356"/>
      <c r="G483" s="356"/>
      <c r="H483" s="356"/>
      <c r="I483" s="324"/>
      <c r="J483" s="324"/>
      <c r="K483" s="431"/>
    </row>
    <row r="484" spans="1:12">
      <c r="A484" s="426"/>
      <c r="B484" s="356"/>
      <c r="C484" s="348"/>
      <c r="D484" s="331"/>
      <c r="E484" s="331"/>
      <c r="F484" s="356"/>
      <c r="G484" s="356"/>
      <c r="H484" s="356"/>
      <c r="I484" s="324"/>
      <c r="J484" s="324"/>
      <c r="K484" s="431"/>
    </row>
    <row r="485" spans="1:12">
      <c r="A485" s="426"/>
      <c r="B485" s="356"/>
      <c r="C485" s="348"/>
      <c r="D485" s="331"/>
      <c r="E485" s="331"/>
      <c r="F485" s="356"/>
      <c r="G485" s="356"/>
      <c r="H485" s="356"/>
      <c r="I485" s="324"/>
      <c r="J485" s="324"/>
      <c r="K485" s="431"/>
    </row>
    <row r="486" spans="1:12">
      <c r="A486" s="434"/>
      <c r="B486" s="356"/>
      <c r="C486" s="348"/>
      <c r="D486" s="331"/>
      <c r="E486" s="331"/>
      <c r="F486" s="356"/>
      <c r="G486" s="356"/>
      <c r="H486" s="356"/>
      <c r="I486" s="324"/>
      <c r="J486" s="324"/>
      <c r="K486" s="431"/>
    </row>
    <row r="487" spans="1:12">
      <c r="A487" s="440"/>
      <c r="B487" s="356"/>
      <c r="C487" s="348"/>
      <c r="D487" s="331"/>
      <c r="E487" s="331"/>
      <c r="F487" s="356"/>
      <c r="G487" s="356"/>
      <c r="H487" s="356"/>
      <c r="I487" s="324"/>
      <c r="J487" s="324"/>
      <c r="K487" s="431"/>
    </row>
    <row r="488" spans="1:12">
      <c r="A488" s="440"/>
      <c r="B488" s="356"/>
      <c r="C488" s="348"/>
      <c r="D488" s="331"/>
      <c r="E488" s="331"/>
      <c r="F488" s="356"/>
      <c r="G488" s="356"/>
      <c r="H488" s="356"/>
      <c r="I488" s="324"/>
      <c r="J488" s="324"/>
      <c r="K488" s="431"/>
    </row>
    <row r="489" spans="1:12">
      <c r="A489" s="440"/>
      <c r="B489" s="356"/>
      <c r="C489" s="348"/>
      <c r="D489" s="331"/>
      <c r="E489" s="331"/>
      <c r="F489" s="356"/>
      <c r="G489" s="356"/>
      <c r="H489" s="356"/>
      <c r="I489" s="324"/>
      <c r="J489" s="324"/>
      <c r="K489" s="431"/>
    </row>
    <row r="490" spans="1:12">
      <c r="A490" s="440"/>
      <c r="B490" s="356"/>
      <c r="C490" s="348"/>
      <c r="D490" s="331"/>
      <c r="E490" s="331"/>
      <c r="F490" s="356"/>
      <c r="G490" s="356"/>
      <c r="H490" s="356"/>
      <c r="I490" s="324"/>
      <c r="J490" s="324"/>
      <c r="K490" s="431"/>
    </row>
    <row r="491" spans="1:12">
      <c r="A491" s="440"/>
      <c r="B491" s="356"/>
      <c r="C491" s="348"/>
      <c r="D491" s="331"/>
      <c r="E491" s="331"/>
      <c r="F491" s="356"/>
      <c r="G491" s="356"/>
      <c r="H491" s="356"/>
      <c r="I491" s="324"/>
      <c r="J491" s="324"/>
      <c r="K491" s="431"/>
    </row>
    <row r="492" spans="1:12">
      <c r="A492" s="440"/>
      <c r="B492" s="356"/>
      <c r="C492" s="348"/>
      <c r="D492" s="331"/>
      <c r="E492" s="331"/>
      <c r="F492" s="356"/>
      <c r="G492" s="356"/>
      <c r="H492" s="356"/>
      <c r="I492" s="324"/>
      <c r="J492" s="324"/>
      <c r="K492" s="431"/>
    </row>
    <row r="493" spans="1:12">
      <c r="A493" s="440"/>
      <c r="B493" s="356"/>
      <c r="C493" s="348"/>
      <c r="D493" s="331"/>
      <c r="E493" s="331"/>
      <c r="F493" s="356"/>
      <c r="G493" s="356"/>
      <c r="H493" s="356"/>
      <c r="I493" s="324"/>
      <c r="J493" s="324"/>
      <c r="K493" s="431"/>
      <c r="L493" s="382"/>
    </row>
    <row r="494" spans="1:12">
      <c r="A494" s="440"/>
      <c r="B494" s="356"/>
      <c r="C494" s="348"/>
      <c r="D494" s="331"/>
      <c r="E494" s="331"/>
      <c r="F494" s="356"/>
      <c r="G494" s="356"/>
      <c r="H494" s="356"/>
      <c r="I494" s="324"/>
      <c r="J494" s="324"/>
      <c r="K494" s="431"/>
      <c r="L494" s="382"/>
    </row>
    <row r="495" spans="1:12">
      <c r="A495" s="440"/>
      <c r="B495" s="447"/>
      <c r="C495" s="348"/>
      <c r="D495" s="331"/>
      <c r="E495" s="331"/>
      <c r="F495" s="356"/>
      <c r="G495" s="447"/>
      <c r="H495" s="356"/>
      <c r="I495" s="324"/>
      <c r="J495" s="324"/>
      <c r="K495" s="431"/>
      <c r="L495" s="383"/>
    </row>
    <row r="496" spans="1:12">
      <c r="A496" s="440"/>
      <c r="B496" s="356"/>
      <c r="C496" s="348"/>
      <c r="D496" s="331"/>
      <c r="E496" s="331"/>
      <c r="F496" s="356"/>
      <c r="G496" s="356"/>
      <c r="H496" s="356"/>
      <c r="I496" s="324"/>
      <c r="J496" s="324"/>
      <c r="K496" s="431"/>
      <c r="L496" s="383"/>
    </row>
    <row r="497" spans="1:12">
      <c r="A497" s="440"/>
      <c r="B497" s="356"/>
      <c r="C497" s="348"/>
      <c r="D497" s="331"/>
      <c r="E497" s="331"/>
      <c r="F497" s="356"/>
      <c r="G497" s="356"/>
      <c r="H497" s="356"/>
      <c r="I497" s="324"/>
      <c r="J497" s="324"/>
      <c r="K497" s="431"/>
      <c r="L497" s="382"/>
    </row>
    <row r="498" spans="1:12">
      <c r="A498" s="440"/>
      <c r="B498" s="356"/>
      <c r="C498" s="348"/>
      <c r="D498" s="331"/>
      <c r="E498" s="331"/>
      <c r="F498" s="356"/>
      <c r="G498" s="356"/>
      <c r="H498" s="356"/>
      <c r="I498" s="324"/>
      <c r="J498" s="324"/>
      <c r="K498" s="431"/>
    </row>
    <row r="499" spans="1:12">
      <c r="A499" s="440"/>
      <c r="B499" s="356"/>
      <c r="C499" s="348"/>
      <c r="D499" s="331"/>
      <c r="E499" s="331"/>
      <c r="F499" s="356"/>
      <c r="G499" s="356"/>
      <c r="H499" s="356"/>
      <c r="I499" s="324"/>
      <c r="J499" s="324"/>
      <c r="K499" s="431"/>
    </row>
    <row r="500" spans="1:12">
      <c r="A500" s="434"/>
      <c r="B500" s="356"/>
      <c r="C500" s="348"/>
      <c r="D500" s="331"/>
      <c r="E500" s="331"/>
      <c r="F500" s="447"/>
      <c r="G500" s="356"/>
      <c r="H500" s="447"/>
      <c r="I500" s="324"/>
      <c r="J500" s="324"/>
      <c r="K500" s="431"/>
    </row>
    <row r="501" spans="1:12">
      <c r="A501" s="440"/>
      <c r="B501" s="356"/>
      <c r="C501" s="348"/>
      <c r="D501" s="331"/>
      <c r="E501" s="331"/>
      <c r="F501" s="356"/>
      <c r="G501" s="356"/>
      <c r="H501" s="356"/>
      <c r="I501" s="324"/>
      <c r="J501" s="324"/>
      <c r="K501" s="431"/>
    </row>
    <row r="502" spans="1:12">
      <c r="A502" s="434"/>
      <c r="B502" s="356"/>
      <c r="C502" s="348"/>
      <c r="D502" s="331"/>
      <c r="E502" s="331"/>
      <c r="F502" s="356"/>
      <c r="G502" s="356"/>
      <c r="H502" s="356"/>
      <c r="I502" s="324"/>
      <c r="J502" s="324"/>
      <c r="K502" s="431"/>
    </row>
    <row r="503" spans="1:12">
      <c r="A503" s="440"/>
      <c r="B503" s="356"/>
      <c r="C503" s="348"/>
      <c r="D503" s="331"/>
      <c r="E503" s="331"/>
      <c r="F503" s="356"/>
      <c r="G503" s="356"/>
      <c r="H503" s="356"/>
      <c r="I503" s="324"/>
      <c r="J503" s="324"/>
      <c r="K503" s="431"/>
    </row>
    <row r="504" spans="1:12">
      <c r="A504" s="440"/>
      <c r="B504" s="356"/>
      <c r="C504" s="348"/>
      <c r="D504" s="331"/>
      <c r="E504" s="331"/>
      <c r="F504" s="356"/>
      <c r="G504" s="356"/>
      <c r="H504" s="356"/>
      <c r="I504" s="324"/>
      <c r="J504" s="324"/>
      <c r="K504" s="431"/>
    </row>
    <row r="505" spans="1:12">
      <c r="A505" s="440"/>
      <c r="B505" s="356"/>
      <c r="C505" s="348"/>
      <c r="D505" s="331"/>
      <c r="E505" s="331"/>
      <c r="F505" s="356"/>
      <c r="G505" s="356"/>
      <c r="H505" s="356"/>
      <c r="I505" s="324"/>
      <c r="J505" s="324"/>
      <c r="K505" s="431"/>
    </row>
    <row r="506" spans="1:12">
      <c r="A506" s="440"/>
      <c r="B506" s="356"/>
      <c r="C506" s="348"/>
      <c r="D506" s="331"/>
      <c r="E506" s="331"/>
      <c r="F506" s="356"/>
      <c r="G506" s="356"/>
      <c r="H506" s="356"/>
      <c r="I506" s="324"/>
      <c r="J506" s="324"/>
      <c r="K506" s="431"/>
    </row>
    <row r="507" spans="1:12">
      <c r="A507" s="440"/>
      <c r="B507" s="356"/>
      <c r="C507" s="348"/>
      <c r="D507" s="331"/>
      <c r="E507" s="331"/>
      <c r="F507" s="356"/>
      <c r="G507" s="356"/>
      <c r="H507" s="356"/>
      <c r="I507" s="324"/>
      <c r="J507" s="324"/>
      <c r="K507" s="431"/>
    </row>
    <row r="508" spans="1:12">
      <c r="A508" s="440"/>
      <c r="B508" s="356"/>
      <c r="C508" s="348"/>
      <c r="D508" s="331"/>
      <c r="E508" s="331"/>
      <c r="F508" s="356"/>
      <c r="G508" s="356"/>
      <c r="H508" s="356"/>
      <c r="I508" s="324"/>
      <c r="J508" s="324"/>
      <c r="K508" s="431"/>
    </row>
    <row r="509" spans="1:12">
      <c r="A509" s="440"/>
      <c r="B509" s="447"/>
      <c r="C509" s="348"/>
      <c r="D509" s="331"/>
      <c r="E509" s="331"/>
      <c r="F509" s="356"/>
      <c r="G509" s="447"/>
      <c r="H509" s="356"/>
      <c r="I509" s="324"/>
      <c r="J509" s="324"/>
      <c r="K509" s="431"/>
    </row>
    <row r="510" spans="1:12">
      <c r="A510" s="440"/>
      <c r="B510" s="356"/>
      <c r="C510" s="348"/>
      <c r="D510" s="331"/>
      <c r="E510" s="331"/>
      <c r="F510" s="356"/>
      <c r="G510" s="356"/>
      <c r="H510" s="356"/>
      <c r="I510" s="324"/>
      <c r="J510" s="324"/>
      <c r="K510" s="431"/>
    </row>
    <row r="511" spans="1:12">
      <c r="A511" s="434"/>
      <c r="B511" s="447"/>
      <c r="C511" s="348"/>
      <c r="D511" s="331"/>
      <c r="E511" s="331"/>
      <c r="F511" s="356"/>
      <c r="G511" s="447"/>
      <c r="H511" s="356"/>
      <c r="I511" s="324"/>
      <c r="J511" s="324"/>
      <c r="K511" s="431"/>
    </row>
    <row r="512" spans="1:12">
      <c r="A512" s="440"/>
      <c r="B512" s="356"/>
      <c r="C512" s="348"/>
      <c r="D512" s="331"/>
      <c r="E512" s="331"/>
      <c r="F512" s="356"/>
      <c r="G512" s="356"/>
      <c r="H512" s="356"/>
      <c r="I512" s="324"/>
      <c r="J512" s="324"/>
      <c r="K512" s="431"/>
    </row>
    <row r="513" spans="1:11">
      <c r="A513" s="440"/>
      <c r="B513" s="356"/>
      <c r="C513" s="348"/>
      <c r="D513" s="331"/>
      <c r="E513" s="331"/>
      <c r="F513" s="356"/>
      <c r="G513" s="356"/>
      <c r="H513" s="356"/>
      <c r="I513" s="324"/>
      <c r="J513" s="324"/>
      <c r="K513" s="431"/>
    </row>
    <row r="514" spans="1:11">
      <c r="A514" s="434"/>
      <c r="B514" s="356"/>
      <c r="C514" s="348"/>
      <c r="D514" s="331"/>
      <c r="E514" s="331"/>
      <c r="F514" s="447"/>
      <c r="G514" s="356"/>
      <c r="H514" s="447"/>
      <c r="I514" s="324"/>
      <c r="J514" s="324"/>
      <c r="K514" s="431"/>
    </row>
    <row r="515" spans="1:11">
      <c r="A515" s="434"/>
      <c r="B515" s="356"/>
      <c r="C515" s="348"/>
      <c r="D515" s="331"/>
      <c r="E515" s="331"/>
      <c r="F515" s="356"/>
      <c r="G515" s="356"/>
      <c r="H515" s="356"/>
      <c r="I515" s="324"/>
      <c r="J515" s="324"/>
      <c r="K515" s="431"/>
    </row>
    <row r="516" spans="1:11" ht="17.45">
      <c r="A516" s="434"/>
      <c r="B516" s="356"/>
      <c r="C516" s="348"/>
      <c r="D516" s="331"/>
      <c r="E516" s="332"/>
      <c r="F516" s="447"/>
      <c r="G516" s="356"/>
      <c r="H516" s="447"/>
      <c r="I516" s="324"/>
      <c r="J516" s="324"/>
      <c r="K516" s="431"/>
    </row>
    <row r="517" spans="1:11">
      <c r="A517" s="434"/>
      <c r="B517" s="356"/>
      <c r="C517" s="348"/>
      <c r="D517" s="331"/>
      <c r="E517" s="331"/>
      <c r="F517" s="356"/>
      <c r="G517" s="356"/>
      <c r="H517" s="356"/>
      <c r="I517" s="324"/>
      <c r="J517" s="324"/>
      <c r="K517" s="431"/>
    </row>
    <row r="518" spans="1:11">
      <c r="A518" s="434"/>
      <c r="B518" s="447"/>
      <c r="C518" s="348"/>
      <c r="D518" s="331"/>
      <c r="E518" s="331"/>
      <c r="F518" s="356"/>
      <c r="G518" s="447"/>
      <c r="H518" s="356"/>
      <c r="I518" s="324"/>
      <c r="J518" s="324"/>
      <c r="K518" s="431"/>
    </row>
    <row r="519" spans="1:11">
      <c r="A519" s="440"/>
      <c r="B519" s="356"/>
      <c r="C519" s="348"/>
      <c r="D519" s="331"/>
      <c r="E519" s="331"/>
      <c r="F519" s="356"/>
      <c r="G519" s="356"/>
      <c r="H519" s="356"/>
      <c r="I519" s="324"/>
      <c r="J519" s="324"/>
      <c r="K519" s="431"/>
    </row>
    <row r="520" spans="1:11">
      <c r="A520" s="451"/>
      <c r="B520" s="447"/>
      <c r="C520" s="348"/>
      <c r="D520" s="331"/>
      <c r="E520" s="331"/>
      <c r="F520" s="356"/>
      <c r="G520" s="447"/>
      <c r="H520" s="356"/>
      <c r="I520" s="324"/>
      <c r="J520" s="324"/>
      <c r="K520" s="431"/>
    </row>
    <row r="521" spans="1:11">
      <c r="A521" s="440"/>
      <c r="B521" s="356"/>
      <c r="C521" s="348"/>
      <c r="D521" s="331"/>
      <c r="E521" s="331"/>
      <c r="F521" s="356"/>
      <c r="G521" s="356"/>
      <c r="H521" s="356"/>
      <c r="I521" s="324"/>
      <c r="J521" s="324"/>
      <c r="K521" s="431"/>
    </row>
    <row r="522" spans="1:11">
      <c r="A522" s="440"/>
      <c r="B522" s="356"/>
      <c r="C522" s="348"/>
      <c r="D522" s="331"/>
      <c r="E522" s="331"/>
      <c r="F522" s="356"/>
      <c r="G522" s="356"/>
      <c r="H522" s="356"/>
      <c r="I522" s="324"/>
      <c r="J522" s="324"/>
      <c r="K522" s="431"/>
    </row>
    <row r="523" spans="1:11">
      <c r="A523" s="434"/>
      <c r="C523" s="348"/>
      <c r="D523" s="331"/>
      <c r="E523" s="331"/>
      <c r="F523" s="447"/>
      <c r="H523" s="447"/>
      <c r="I523" s="324"/>
      <c r="J523" s="324"/>
      <c r="K523" s="431"/>
    </row>
    <row r="524" spans="1:11">
      <c r="A524" s="434"/>
      <c r="B524" s="447"/>
      <c r="C524" s="348"/>
      <c r="D524" s="331"/>
      <c r="E524" s="331"/>
      <c r="F524" s="356"/>
      <c r="G524" s="447"/>
      <c r="H524" s="356"/>
      <c r="I524" s="324"/>
      <c r="J524" s="324"/>
      <c r="K524" s="431"/>
    </row>
    <row r="525" spans="1:11">
      <c r="A525" s="434"/>
      <c r="B525" s="490"/>
      <c r="C525" s="348"/>
      <c r="D525" s="331"/>
      <c r="E525" s="331"/>
      <c r="F525" s="447"/>
      <c r="G525" s="490"/>
      <c r="H525" s="447"/>
      <c r="I525" s="324"/>
      <c r="J525" s="324"/>
      <c r="K525" s="431"/>
    </row>
    <row r="526" spans="1:11">
      <c r="A526" s="434"/>
      <c r="B526" s="447"/>
      <c r="C526" s="348"/>
      <c r="D526" s="331"/>
      <c r="E526" s="331"/>
      <c r="F526" s="356"/>
      <c r="G526" s="447"/>
      <c r="H526" s="356"/>
      <c r="I526" s="324"/>
      <c r="J526" s="324"/>
      <c r="K526" s="431"/>
    </row>
    <row r="527" spans="1:11">
      <c r="A527" s="434"/>
      <c r="B527" s="491"/>
      <c r="C527" s="348"/>
      <c r="D527" s="331"/>
      <c r="E527" s="331"/>
      <c r="F527" s="356"/>
      <c r="G527" s="491"/>
      <c r="H527" s="356"/>
      <c r="I527" s="324"/>
      <c r="J527" s="324"/>
      <c r="K527" s="431"/>
    </row>
    <row r="528" spans="1:11">
      <c r="A528" s="434"/>
      <c r="B528" s="447"/>
      <c r="C528" s="348"/>
      <c r="D528" s="331"/>
      <c r="E528" s="331"/>
      <c r="G528" s="447"/>
      <c r="I528" s="324"/>
      <c r="J528" s="324"/>
      <c r="K528" s="431"/>
    </row>
    <row r="529" spans="1:11">
      <c r="A529" s="434"/>
      <c r="B529" s="447"/>
      <c r="C529" s="348"/>
      <c r="D529" s="331"/>
      <c r="E529" s="331"/>
      <c r="F529" s="447"/>
      <c r="G529" s="447"/>
      <c r="H529" s="447"/>
      <c r="I529" s="324"/>
      <c r="J529" s="326"/>
      <c r="K529" s="431"/>
    </row>
    <row r="530" spans="1:11">
      <c r="A530" s="434"/>
      <c r="B530" s="447"/>
      <c r="C530" s="348"/>
      <c r="D530" s="331"/>
      <c r="E530" s="331"/>
      <c r="F530" s="490"/>
      <c r="G530" s="447"/>
      <c r="H530" s="490"/>
      <c r="I530" s="326"/>
      <c r="J530" s="324"/>
      <c r="K530" s="431"/>
    </row>
    <row r="531" spans="1:11">
      <c r="A531" s="434"/>
      <c r="B531" s="490"/>
      <c r="C531" s="348"/>
      <c r="D531" s="331"/>
      <c r="E531" s="331"/>
      <c r="F531" s="447"/>
      <c r="G531" s="490"/>
      <c r="H531" s="447"/>
      <c r="I531" s="324"/>
      <c r="J531" s="324"/>
      <c r="K531" s="431"/>
    </row>
    <row r="532" spans="1:11">
      <c r="A532" s="434"/>
      <c r="B532" s="447"/>
      <c r="C532" s="348"/>
      <c r="D532" s="331"/>
      <c r="E532" s="331"/>
      <c r="F532" s="491"/>
      <c r="G532" s="447"/>
      <c r="H532" s="491"/>
      <c r="I532" s="326"/>
      <c r="J532" s="324"/>
      <c r="K532" s="431"/>
    </row>
    <row r="533" spans="1:11">
      <c r="A533" s="434"/>
      <c r="C533" s="348"/>
      <c r="D533" s="331"/>
      <c r="E533" s="331"/>
      <c r="F533" s="447"/>
      <c r="H533" s="447"/>
      <c r="I533" s="324"/>
      <c r="J533" s="324"/>
      <c r="K533" s="431"/>
    </row>
    <row r="534" spans="1:11">
      <c r="A534" s="434"/>
      <c r="B534" s="447"/>
      <c r="C534" s="348"/>
      <c r="D534" s="331"/>
      <c r="E534" s="331"/>
      <c r="F534" s="447"/>
      <c r="G534" s="447"/>
      <c r="H534" s="447"/>
      <c r="I534" s="326"/>
      <c r="J534" s="324"/>
      <c r="K534" s="431"/>
    </row>
    <row r="535" spans="1:11">
      <c r="A535" s="434"/>
      <c r="C535" s="348"/>
      <c r="D535" s="331"/>
      <c r="E535" s="331"/>
      <c r="F535" s="447"/>
      <c r="H535" s="447"/>
      <c r="I535" s="324"/>
      <c r="J535" s="324"/>
      <c r="K535" s="431"/>
    </row>
    <row r="536" spans="1:11">
      <c r="A536" s="434"/>
      <c r="C536" s="348"/>
      <c r="D536" s="331"/>
      <c r="E536" s="331"/>
      <c r="F536" s="490"/>
      <c r="H536" s="490"/>
      <c r="I536" s="326"/>
      <c r="J536" s="324"/>
      <c r="K536" s="431"/>
    </row>
    <row r="537" spans="1:11">
      <c r="A537" s="434"/>
      <c r="C537" s="348"/>
      <c r="D537" s="331"/>
      <c r="E537" s="331"/>
      <c r="F537" s="447"/>
      <c r="H537" s="447"/>
      <c r="I537" s="324"/>
      <c r="J537" s="326"/>
      <c r="K537" s="431"/>
    </row>
    <row r="538" spans="1:11">
      <c r="A538" s="426"/>
      <c r="C538" s="348"/>
      <c r="D538" s="331"/>
      <c r="E538" s="331"/>
      <c r="I538" s="326"/>
      <c r="J538" s="324"/>
      <c r="K538" s="431"/>
    </row>
    <row r="539" spans="1:11">
      <c r="A539" s="328"/>
      <c r="C539" s="348"/>
      <c r="D539" s="331"/>
      <c r="E539" s="331"/>
      <c r="F539" s="447"/>
      <c r="H539" s="447"/>
      <c r="I539" s="324"/>
      <c r="J539" s="326"/>
      <c r="K539" s="431"/>
    </row>
    <row r="540" spans="1:11">
      <c r="A540" s="434"/>
      <c r="C540" s="348"/>
      <c r="D540" s="331"/>
      <c r="E540" s="331"/>
      <c r="I540" s="326"/>
      <c r="J540" s="324"/>
      <c r="K540" s="431"/>
    </row>
    <row r="541" spans="1:11">
      <c r="C541" s="348"/>
      <c r="D541" s="331"/>
      <c r="E541" s="331"/>
      <c r="I541" s="324"/>
      <c r="J541" s="324"/>
      <c r="K541" s="431"/>
    </row>
    <row r="542" spans="1:11">
      <c r="C542" s="348"/>
      <c r="D542" s="331"/>
      <c r="E542" s="331"/>
      <c r="I542" s="324"/>
      <c r="J542" s="324"/>
      <c r="K542" s="431"/>
    </row>
    <row r="543" spans="1:11">
      <c r="C543" s="348"/>
      <c r="D543" s="331"/>
      <c r="E543" s="331"/>
      <c r="I543" s="324"/>
      <c r="J543" s="324"/>
      <c r="K543" s="431"/>
    </row>
    <row r="544" spans="1:11">
      <c r="C544" s="348"/>
      <c r="D544" s="331"/>
      <c r="E544" s="331"/>
      <c r="I544" s="324"/>
      <c r="J544" s="324"/>
      <c r="K544" s="431"/>
    </row>
    <row r="545" spans="3:11">
      <c r="C545" s="348"/>
      <c r="D545" s="331"/>
      <c r="E545" s="331"/>
      <c r="I545" s="324"/>
      <c r="J545" s="324"/>
      <c r="K545" s="431"/>
    </row>
    <row r="546" spans="3:11">
      <c r="C546" s="348"/>
      <c r="D546" s="331"/>
      <c r="E546" s="331"/>
      <c r="I546" s="324"/>
      <c r="J546" s="324"/>
      <c r="K546" s="431"/>
    </row>
    <row r="547" spans="3:11">
      <c r="C547" s="348"/>
      <c r="D547" s="331"/>
      <c r="E547" s="331"/>
      <c r="I547" s="324"/>
      <c r="J547" s="324"/>
      <c r="K547" s="431"/>
    </row>
    <row r="548" spans="3:11">
      <c r="C548" s="348"/>
      <c r="D548" s="331"/>
      <c r="E548" s="331"/>
      <c r="I548" s="324"/>
      <c r="J548" s="324"/>
    </row>
    <row r="549" spans="3:11">
      <c r="C549" s="348"/>
      <c r="D549" s="331"/>
      <c r="E549" s="331"/>
      <c r="I549" s="324"/>
      <c r="J549" s="324"/>
    </row>
    <row r="550" spans="3:11">
      <c r="C550" s="348"/>
      <c r="D550" s="331"/>
      <c r="E550" s="331"/>
      <c r="I550" s="324"/>
      <c r="J550" s="324"/>
    </row>
    <row r="551" spans="3:11">
      <c r="C551" s="348"/>
      <c r="D551" s="331"/>
      <c r="E551" s="331"/>
      <c r="I551" s="324"/>
      <c r="J551" s="324"/>
    </row>
    <row r="552" spans="3:11">
      <c r="C552" s="348"/>
      <c r="D552" s="331"/>
      <c r="E552" s="331"/>
      <c r="I552" s="324"/>
      <c r="J552" s="324"/>
    </row>
    <row r="553" spans="3:11">
      <c r="C553" s="348"/>
      <c r="D553" s="331"/>
      <c r="E553" s="331"/>
      <c r="I553" s="324"/>
      <c r="J553" s="324"/>
    </row>
    <row r="554" spans="3:11">
      <c r="C554" s="348"/>
      <c r="D554" s="331"/>
      <c r="E554" s="331"/>
      <c r="I554" s="324"/>
      <c r="J554" s="324"/>
    </row>
    <row r="555" spans="3:11">
      <c r="C555" s="348"/>
      <c r="D555" s="331"/>
      <c r="E555" s="331"/>
      <c r="I555" s="324"/>
      <c r="J555" s="324"/>
    </row>
    <row r="556" spans="3:11">
      <c r="C556" s="348"/>
      <c r="D556" s="331"/>
      <c r="E556" s="331"/>
      <c r="I556" s="324"/>
      <c r="J556" s="324"/>
    </row>
    <row r="557" spans="3:11">
      <c r="C557" s="348"/>
      <c r="D557" s="331"/>
      <c r="E557" s="331"/>
      <c r="I557" s="324"/>
      <c r="J557" s="324"/>
    </row>
    <row r="558" spans="3:11">
      <c r="C558" s="348"/>
      <c r="D558" s="331"/>
      <c r="E558" s="331"/>
      <c r="I558" s="324"/>
      <c r="J558" s="324"/>
    </row>
    <row r="559" spans="3:11">
      <c r="C559" s="348"/>
      <c r="D559" s="331"/>
      <c r="E559" s="331"/>
      <c r="I559" s="324"/>
      <c r="J559" s="324"/>
    </row>
    <row r="560" spans="3:11">
      <c r="C560" s="348"/>
      <c r="D560" s="331"/>
      <c r="E560" s="331"/>
      <c r="I560" s="324"/>
      <c r="J560" s="324"/>
    </row>
    <row r="561" spans="3:10">
      <c r="C561" s="348"/>
      <c r="D561" s="331"/>
      <c r="E561" s="331"/>
      <c r="I561" s="324"/>
      <c r="J561" s="324"/>
    </row>
    <row r="562" spans="3:10">
      <c r="C562" s="348"/>
      <c r="D562" s="331"/>
      <c r="E562" s="331"/>
      <c r="I562" s="324"/>
      <c r="J562" s="324"/>
    </row>
    <row r="563" spans="3:10">
      <c r="C563" s="348"/>
      <c r="D563" s="331"/>
      <c r="E563" s="331"/>
      <c r="I563" s="324"/>
      <c r="J563" s="324"/>
    </row>
    <row r="564" spans="3:10">
      <c r="C564" s="348"/>
      <c r="D564" s="331"/>
      <c r="E564" s="331"/>
      <c r="I564" s="324"/>
      <c r="J564" s="324"/>
    </row>
    <row r="565" spans="3:10">
      <c r="C565" s="348"/>
      <c r="D565" s="331"/>
      <c r="E565" s="331"/>
      <c r="I565" s="324"/>
      <c r="J565" s="324"/>
    </row>
    <row r="566" spans="3:10">
      <c r="C566" s="348"/>
      <c r="D566" s="331"/>
      <c r="E566" s="331"/>
      <c r="I566" s="324"/>
      <c r="J566" s="324"/>
    </row>
    <row r="567" spans="3:10">
      <c r="C567" s="348"/>
      <c r="D567" s="331"/>
      <c r="E567" s="331"/>
      <c r="I567" s="324"/>
      <c r="J567" s="324"/>
    </row>
    <row r="568" spans="3:10">
      <c r="C568" s="348"/>
      <c r="D568" s="331"/>
      <c r="E568" s="331"/>
      <c r="I568" s="324"/>
      <c r="J568" s="324"/>
    </row>
    <row r="569" spans="3:10">
      <c r="C569" s="348"/>
      <c r="D569" s="331"/>
      <c r="E569" s="331"/>
      <c r="I569" s="324"/>
      <c r="J569" s="324"/>
    </row>
    <row r="570" spans="3:10">
      <c r="C570" s="348"/>
      <c r="D570" s="331"/>
      <c r="E570" s="331"/>
      <c r="I570" s="324"/>
      <c r="J570" s="324"/>
    </row>
    <row r="571" spans="3:10">
      <c r="C571" s="348"/>
      <c r="D571" s="331"/>
      <c r="E571" s="331"/>
      <c r="I571" s="324"/>
      <c r="J571" s="324"/>
    </row>
    <row r="572" spans="3:10">
      <c r="C572" s="348"/>
      <c r="D572" s="331"/>
      <c r="E572" s="331"/>
      <c r="I572" s="324"/>
      <c r="J572" s="324"/>
    </row>
    <row r="573" spans="3:10">
      <c r="C573" s="348"/>
      <c r="D573" s="331"/>
      <c r="E573" s="331"/>
      <c r="I573" s="324"/>
      <c r="J573" s="324"/>
    </row>
    <row r="574" spans="3:10">
      <c r="C574" s="348"/>
      <c r="D574" s="331"/>
      <c r="E574" s="331"/>
      <c r="I574" s="324"/>
      <c r="J574" s="324"/>
    </row>
    <row r="575" spans="3:10">
      <c r="C575" s="348"/>
      <c r="D575" s="331"/>
      <c r="E575" s="331"/>
      <c r="I575" s="324"/>
      <c r="J575" s="324"/>
    </row>
    <row r="576" spans="3:10">
      <c r="C576" s="348"/>
      <c r="D576" s="331"/>
      <c r="E576" s="331"/>
      <c r="I576" s="324"/>
      <c r="J576" s="324"/>
    </row>
    <row r="577" spans="3:10">
      <c r="C577" s="348"/>
      <c r="D577" s="331"/>
      <c r="E577" s="331"/>
      <c r="I577" s="324"/>
      <c r="J577" s="324"/>
    </row>
    <row r="578" spans="3:10">
      <c r="C578" s="348"/>
      <c r="D578" s="331"/>
      <c r="E578" s="331"/>
      <c r="I578" s="324"/>
      <c r="J578" s="324"/>
    </row>
    <row r="579" spans="3:10">
      <c r="C579" s="348"/>
      <c r="D579" s="331"/>
      <c r="E579" s="331"/>
      <c r="I579" s="324"/>
      <c r="J579" s="324"/>
    </row>
    <row r="580" spans="3:10">
      <c r="C580" s="348"/>
      <c r="D580" s="331"/>
      <c r="E580" s="331"/>
      <c r="I580" s="324"/>
      <c r="J580" s="324"/>
    </row>
    <row r="581" spans="3:10">
      <c r="C581" s="348"/>
      <c r="D581" s="331"/>
      <c r="E581" s="331"/>
      <c r="I581" s="324"/>
      <c r="J581" s="324"/>
    </row>
    <row r="582" spans="3:10">
      <c r="C582" s="348"/>
      <c r="D582" s="331"/>
      <c r="E582" s="331"/>
      <c r="I582" s="324"/>
      <c r="J582" s="324"/>
    </row>
    <row r="583" spans="3:10">
      <c r="C583" s="348"/>
      <c r="D583" s="331"/>
      <c r="E583" s="331"/>
      <c r="I583" s="324"/>
      <c r="J583" s="324"/>
    </row>
    <row r="584" spans="3:10">
      <c r="C584" s="348"/>
      <c r="D584" s="331"/>
      <c r="E584" s="331"/>
      <c r="I584" s="324"/>
      <c r="J584" s="324"/>
    </row>
    <row r="585" spans="3:10">
      <c r="C585" s="348"/>
      <c r="D585" s="331"/>
      <c r="E585" s="331"/>
      <c r="I585" s="324"/>
      <c r="J585" s="324"/>
    </row>
    <row r="586" spans="3:10">
      <c r="C586" s="348"/>
      <c r="D586" s="331"/>
      <c r="E586" s="331"/>
      <c r="I586" s="324"/>
      <c r="J586" s="324"/>
    </row>
    <row r="587" spans="3:10">
      <c r="C587" s="348"/>
      <c r="D587" s="331"/>
      <c r="E587" s="331"/>
      <c r="I587" s="324"/>
      <c r="J587" s="324"/>
    </row>
    <row r="588" spans="3:10">
      <c r="C588" s="348"/>
      <c r="D588" s="331"/>
      <c r="E588" s="331"/>
      <c r="I588" s="324"/>
      <c r="J588" s="324"/>
    </row>
    <row r="589" spans="3:10">
      <c r="C589" s="348"/>
      <c r="D589" s="331"/>
      <c r="E589" s="331"/>
      <c r="I589" s="324"/>
      <c r="J589" s="324"/>
    </row>
    <row r="590" spans="3:10">
      <c r="C590" s="348"/>
      <c r="D590" s="331"/>
      <c r="E590" s="331"/>
      <c r="I590" s="324"/>
      <c r="J590" s="324"/>
    </row>
    <row r="591" spans="3:10">
      <c r="C591" s="348"/>
      <c r="D591" s="331"/>
      <c r="E591" s="331"/>
      <c r="I591" s="324"/>
      <c r="J591" s="324"/>
    </row>
    <row r="592" spans="3:10">
      <c r="C592" s="348"/>
      <c r="D592" s="331"/>
      <c r="E592" s="331"/>
      <c r="I592" s="324"/>
      <c r="J592" s="324"/>
    </row>
    <row r="593" spans="3:10">
      <c r="C593" s="348"/>
      <c r="D593" s="331"/>
      <c r="E593" s="331"/>
      <c r="I593" s="324"/>
      <c r="J593" s="324"/>
    </row>
    <row r="594" spans="3:10">
      <c r="C594" s="348"/>
      <c r="D594" s="331"/>
      <c r="E594" s="331"/>
      <c r="I594" s="324"/>
      <c r="J594" s="324"/>
    </row>
    <row r="595" spans="3:10">
      <c r="C595" s="348"/>
      <c r="D595" s="331"/>
      <c r="E595" s="331"/>
      <c r="I595" s="324"/>
      <c r="J595" s="324"/>
    </row>
    <row r="596" spans="3:10">
      <c r="C596" s="348"/>
      <c r="D596" s="331"/>
      <c r="E596" s="331"/>
      <c r="I596" s="324"/>
      <c r="J596" s="324"/>
    </row>
    <row r="597" spans="3:10">
      <c r="C597" s="348"/>
      <c r="D597" s="331"/>
      <c r="E597" s="331"/>
      <c r="I597" s="324"/>
      <c r="J597" s="324"/>
    </row>
    <row r="598" spans="3:10">
      <c r="C598" s="348"/>
      <c r="D598" s="331"/>
      <c r="E598" s="331"/>
      <c r="I598" s="324"/>
      <c r="J598" s="324"/>
    </row>
    <row r="599" spans="3:10">
      <c r="C599" s="348"/>
      <c r="D599" s="331"/>
      <c r="E599" s="331"/>
      <c r="I599" s="324"/>
      <c r="J599" s="324"/>
    </row>
    <row r="600" spans="3:10">
      <c r="C600" s="348"/>
      <c r="D600" s="331"/>
      <c r="E600" s="331"/>
      <c r="I600" s="324"/>
      <c r="J600" s="324"/>
    </row>
    <row r="601" spans="3:10">
      <c r="C601" s="348"/>
      <c r="D601" s="331"/>
      <c r="E601" s="331"/>
      <c r="I601" s="324"/>
      <c r="J601" s="324"/>
    </row>
    <row r="602" spans="3:10">
      <c r="C602" s="348"/>
      <c r="D602" s="331"/>
      <c r="E602" s="331"/>
      <c r="I602" s="324"/>
      <c r="J602" s="324"/>
    </row>
    <row r="603" spans="3:10">
      <c r="C603" s="348"/>
      <c r="D603" s="331"/>
      <c r="E603" s="331"/>
      <c r="I603" s="324"/>
      <c r="J603" s="324"/>
    </row>
    <row r="604" spans="3:10">
      <c r="C604" s="348"/>
      <c r="D604" s="331"/>
      <c r="E604" s="331"/>
      <c r="I604" s="324"/>
      <c r="J604" s="324"/>
    </row>
    <row r="605" spans="3:10">
      <c r="C605" s="348"/>
      <c r="D605" s="331"/>
      <c r="E605" s="331"/>
      <c r="I605" s="324"/>
      <c r="J605" s="324"/>
    </row>
    <row r="606" spans="3:10">
      <c r="C606" s="348"/>
      <c r="D606" s="331"/>
      <c r="E606" s="331"/>
      <c r="I606" s="324"/>
      <c r="J606" s="324"/>
    </row>
    <row r="607" spans="3:10">
      <c r="C607" s="348"/>
      <c r="D607" s="331"/>
      <c r="E607" s="331"/>
      <c r="I607" s="324"/>
      <c r="J607" s="324"/>
    </row>
    <row r="608" spans="3:10">
      <c r="C608" s="348"/>
      <c r="D608" s="331"/>
      <c r="E608" s="331"/>
      <c r="I608" s="324"/>
      <c r="J608" s="324"/>
    </row>
    <row r="609" spans="3:10">
      <c r="C609" s="348"/>
      <c r="D609" s="331"/>
      <c r="E609" s="331"/>
      <c r="I609" s="324"/>
      <c r="J609" s="324"/>
    </row>
    <row r="610" spans="3:10">
      <c r="C610" s="348"/>
      <c r="D610" s="331"/>
      <c r="E610" s="331"/>
      <c r="I610" s="324"/>
      <c r="J610" s="324"/>
    </row>
    <row r="611" spans="3:10">
      <c r="C611" s="348"/>
      <c r="D611" s="331"/>
      <c r="E611" s="331"/>
      <c r="I611" s="324"/>
      <c r="J611" s="324"/>
    </row>
    <row r="612" spans="3:10">
      <c r="C612" s="348"/>
      <c r="D612" s="331"/>
      <c r="E612" s="331"/>
      <c r="I612" s="324"/>
      <c r="J612" s="324"/>
    </row>
    <row r="613" spans="3:10">
      <c r="C613" s="348"/>
      <c r="D613" s="331"/>
      <c r="E613" s="331"/>
      <c r="I613" s="324"/>
      <c r="J613" s="324"/>
    </row>
    <row r="614" spans="3:10">
      <c r="C614" s="348"/>
      <c r="D614" s="331"/>
      <c r="E614" s="331"/>
      <c r="I614" s="324"/>
      <c r="J614" s="324"/>
    </row>
    <row r="615" spans="3:10">
      <c r="C615" s="348"/>
      <c r="D615" s="331"/>
      <c r="E615" s="331"/>
      <c r="I615" s="324"/>
      <c r="J615" s="324"/>
    </row>
    <row r="616" spans="3:10">
      <c r="C616" s="348"/>
      <c r="D616" s="331"/>
      <c r="E616" s="331"/>
      <c r="I616" s="324"/>
      <c r="J616" s="324"/>
    </row>
    <row r="617" spans="3:10">
      <c r="C617" s="348"/>
      <c r="D617" s="331"/>
      <c r="E617" s="331"/>
      <c r="I617" s="324"/>
      <c r="J617" s="324"/>
    </row>
    <row r="618" spans="3:10">
      <c r="C618" s="348"/>
      <c r="D618" s="331"/>
      <c r="E618" s="331"/>
      <c r="I618" s="324"/>
      <c r="J618" s="324"/>
    </row>
    <row r="619" spans="3:10">
      <c r="C619" s="348"/>
      <c r="D619" s="331"/>
      <c r="E619" s="331"/>
      <c r="I619" s="324"/>
      <c r="J619" s="324"/>
    </row>
    <row r="620" spans="3:10">
      <c r="C620" s="348"/>
      <c r="D620" s="331"/>
      <c r="E620" s="331"/>
      <c r="I620" s="324"/>
      <c r="J620" s="324"/>
    </row>
    <row r="621" spans="3:10">
      <c r="C621" s="348"/>
      <c r="D621" s="331"/>
      <c r="E621" s="331"/>
      <c r="I621" s="324"/>
      <c r="J621" s="324"/>
    </row>
    <row r="622" spans="3:10">
      <c r="C622" s="348"/>
      <c r="D622" s="331"/>
      <c r="E622" s="331"/>
      <c r="I622" s="324"/>
      <c r="J622" s="324"/>
    </row>
    <row r="623" spans="3:10">
      <c r="C623" s="348"/>
      <c r="D623" s="331"/>
      <c r="E623" s="331"/>
      <c r="I623" s="324"/>
      <c r="J623" s="324"/>
    </row>
    <row r="624" spans="3:10">
      <c r="C624" s="348"/>
      <c r="D624" s="331"/>
      <c r="E624" s="331"/>
      <c r="I624" s="324"/>
      <c r="J624" s="324"/>
    </row>
    <row r="625" spans="3:10">
      <c r="C625" s="348"/>
      <c r="D625" s="331"/>
      <c r="E625" s="331"/>
      <c r="I625" s="324"/>
      <c r="J625" s="324"/>
    </row>
    <row r="626" spans="3:10">
      <c r="C626" s="348"/>
      <c r="D626" s="331"/>
      <c r="E626" s="331"/>
      <c r="I626" s="324"/>
      <c r="J626" s="324"/>
    </row>
    <row r="627" spans="3:10">
      <c r="C627" s="348"/>
      <c r="D627" s="331"/>
      <c r="E627" s="331"/>
      <c r="I627" s="324"/>
      <c r="J627" s="324"/>
    </row>
    <row r="628" spans="3:10">
      <c r="C628" s="348"/>
      <c r="D628" s="331"/>
      <c r="E628" s="331"/>
      <c r="I628" s="324"/>
      <c r="J628" s="324"/>
    </row>
    <row r="629" spans="3:10">
      <c r="C629" s="348"/>
      <c r="D629" s="331"/>
      <c r="E629" s="331"/>
      <c r="I629" s="324"/>
      <c r="J629" s="324"/>
    </row>
    <row r="630" spans="3:10">
      <c r="C630" s="348"/>
      <c r="D630" s="331"/>
      <c r="E630" s="331"/>
      <c r="I630" s="324"/>
      <c r="J630" s="324"/>
    </row>
    <row r="631" spans="3:10">
      <c r="C631" s="348"/>
      <c r="D631" s="331"/>
      <c r="E631" s="331"/>
      <c r="I631" s="324"/>
      <c r="J631" s="324"/>
    </row>
    <row r="632" spans="3:10">
      <c r="C632" s="348"/>
      <c r="D632" s="331"/>
      <c r="E632" s="331"/>
      <c r="I632" s="324"/>
      <c r="J632" s="324"/>
    </row>
    <row r="633" spans="3:10">
      <c r="C633" s="348"/>
      <c r="D633" s="331"/>
      <c r="E633" s="331"/>
      <c r="I633" s="324"/>
      <c r="J633" s="324"/>
    </row>
    <row r="634" spans="3:10">
      <c r="C634" s="348"/>
      <c r="D634" s="331"/>
      <c r="E634" s="331"/>
      <c r="I634" s="324"/>
      <c r="J634" s="324"/>
    </row>
    <row r="635" spans="3:10">
      <c r="C635" s="348"/>
      <c r="D635" s="331"/>
      <c r="E635" s="331"/>
      <c r="I635" s="324"/>
      <c r="J635" s="324"/>
    </row>
    <row r="636" spans="3:10">
      <c r="C636" s="348"/>
      <c r="D636" s="331"/>
      <c r="E636" s="331"/>
      <c r="I636" s="324"/>
      <c r="J636" s="324"/>
    </row>
    <row r="637" spans="3:10">
      <c r="C637" s="348"/>
      <c r="D637" s="331"/>
      <c r="E637" s="331"/>
      <c r="I637" s="324"/>
      <c r="J637" s="324"/>
    </row>
    <row r="638" spans="3:10">
      <c r="C638" s="348"/>
      <c r="D638" s="331"/>
      <c r="E638" s="331"/>
      <c r="I638" s="324"/>
      <c r="J638" s="324"/>
    </row>
    <row r="639" spans="3:10">
      <c r="C639" s="348"/>
      <c r="D639" s="331"/>
      <c r="E639" s="331"/>
      <c r="I639" s="324"/>
      <c r="J639" s="324"/>
    </row>
    <row r="640" spans="3:10">
      <c r="C640" s="348"/>
      <c r="D640" s="331"/>
      <c r="E640" s="331"/>
      <c r="I640" s="324"/>
      <c r="J640" s="324"/>
    </row>
    <row r="641" spans="3:10">
      <c r="C641" s="348"/>
      <c r="D641" s="331"/>
      <c r="E641" s="331"/>
      <c r="I641" s="324"/>
      <c r="J641" s="324"/>
    </row>
    <row r="642" spans="3:10">
      <c r="C642" s="348"/>
      <c r="D642" s="331"/>
      <c r="E642" s="331"/>
      <c r="I642" s="324"/>
      <c r="J642" s="324"/>
    </row>
    <row r="643" spans="3:10">
      <c r="C643" s="348"/>
      <c r="D643" s="331"/>
      <c r="E643" s="331"/>
      <c r="I643" s="324"/>
      <c r="J643" s="324"/>
    </row>
    <row r="644" spans="3:10">
      <c r="C644" s="348"/>
      <c r="D644" s="331"/>
      <c r="E644" s="331"/>
      <c r="I644" s="324"/>
      <c r="J644" s="324"/>
    </row>
    <row r="645" spans="3:10">
      <c r="C645" s="348"/>
      <c r="D645" s="331"/>
      <c r="E645" s="331"/>
      <c r="I645" s="324"/>
      <c r="J645" s="324"/>
    </row>
    <row r="646" spans="3:10">
      <c r="C646" s="348"/>
      <c r="D646" s="331"/>
      <c r="E646" s="331"/>
      <c r="I646" s="324"/>
      <c r="J646" s="324"/>
    </row>
    <row r="647" spans="3:10">
      <c r="C647" s="348"/>
      <c r="D647" s="331"/>
      <c r="E647" s="331"/>
      <c r="I647" s="324"/>
      <c r="J647" s="324"/>
    </row>
    <row r="648" spans="3:10">
      <c r="C648" s="348"/>
      <c r="D648" s="331"/>
      <c r="E648" s="331"/>
      <c r="I648" s="324"/>
      <c r="J648" s="324"/>
    </row>
    <row r="649" spans="3:10">
      <c r="C649" s="348"/>
      <c r="D649" s="331"/>
      <c r="E649" s="331"/>
      <c r="I649" s="324"/>
      <c r="J649" s="324"/>
    </row>
    <row r="650" spans="3:10">
      <c r="C650" s="348"/>
      <c r="D650" s="331"/>
      <c r="E650" s="331"/>
      <c r="I650" s="324"/>
      <c r="J650" s="324"/>
    </row>
    <row r="651" spans="3:10">
      <c r="C651" s="348"/>
      <c r="D651" s="331"/>
      <c r="E651" s="331"/>
      <c r="I651" s="324"/>
      <c r="J651" s="324"/>
    </row>
    <row r="652" spans="3:10">
      <c r="C652" s="348"/>
      <c r="D652" s="331"/>
      <c r="E652" s="331"/>
      <c r="I652" s="324"/>
      <c r="J652" s="324"/>
    </row>
    <row r="653" spans="3:10">
      <c r="C653" s="348"/>
      <c r="D653" s="331"/>
      <c r="E653" s="331"/>
      <c r="I653" s="324"/>
      <c r="J653" s="324"/>
    </row>
    <row r="654" spans="3:10">
      <c r="C654" s="348"/>
      <c r="D654" s="331"/>
      <c r="E654" s="331"/>
      <c r="I654" s="324"/>
      <c r="J654" s="324"/>
    </row>
    <row r="655" spans="3:10">
      <c r="C655" s="348"/>
      <c r="D655" s="331"/>
      <c r="E655" s="331"/>
      <c r="I655" s="324"/>
      <c r="J655" s="324"/>
    </row>
    <row r="656" spans="3:10">
      <c r="C656" s="348"/>
      <c r="D656" s="331"/>
      <c r="E656" s="331"/>
      <c r="I656" s="324"/>
      <c r="J656" s="324"/>
    </row>
    <row r="657" spans="3:10">
      <c r="C657" s="348"/>
      <c r="D657" s="331"/>
      <c r="E657" s="331"/>
      <c r="I657" s="324"/>
      <c r="J657" s="324"/>
    </row>
    <row r="658" spans="3:10">
      <c r="C658" s="348"/>
      <c r="D658" s="331"/>
      <c r="E658" s="331"/>
      <c r="I658" s="324"/>
      <c r="J658" s="324"/>
    </row>
    <row r="659" spans="3:10">
      <c r="C659" s="348"/>
      <c r="D659" s="331"/>
      <c r="E659" s="331"/>
      <c r="I659" s="324"/>
      <c r="J659" s="324"/>
    </row>
    <row r="660" spans="3:10">
      <c r="C660" s="348"/>
      <c r="D660" s="331"/>
      <c r="E660" s="331"/>
      <c r="I660" s="324"/>
      <c r="J660" s="324"/>
    </row>
    <row r="661" spans="3:10">
      <c r="C661" s="348"/>
      <c r="D661" s="331"/>
      <c r="E661" s="331"/>
      <c r="I661" s="324"/>
      <c r="J661" s="324"/>
    </row>
    <row r="662" spans="3:10">
      <c r="C662" s="348"/>
      <c r="D662" s="331"/>
      <c r="E662" s="331"/>
      <c r="I662" s="324"/>
      <c r="J662" s="324"/>
    </row>
    <row r="663" spans="3:10">
      <c r="C663" s="348"/>
      <c r="D663" s="331"/>
      <c r="E663" s="331"/>
      <c r="I663" s="324"/>
      <c r="J663" s="324"/>
    </row>
    <row r="664" spans="3:10">
      <c r="C664" s="348"/>
      <c r="D664" s="331"/>
      <c r="E664" s="331"/>
      <c r="I664" s="324"/>
      <c r="J664" s="324"/>
    </row>
    <row r="665" spans="3:10">
      <c r="C665" s="348"/>
      <c r="D665" s="331"/>
      <c r="E665" s="331"/>
      <c r="I665" s="324"/>
      <c r="J665" s="324"/>
    </row>
    <row r="666" spans="3:10">
      <c r="C666" s="348"/>
      <c r="D666" s="331"/>
      <c r="E666" s="331"/>
      <c r="I666" s="324"/>
      <c r="J666" s="324"/>
    </row>
    <row r="667" spans="3:10">
      <c r="C667" s="348"/>
      <c r="D667" s="331"/>
      <c r="E667" s="331"/>
      <c r="I667" s="324"/>
      <c r="J667" s="324"/>
    </row>
    <row r="668" spans="3:10">
      <c r="C668" s="348"/>
      <c r="D668" s="331"/>
      <c r="E668" s="331"/>
      <c r="I668" s="324"/>
      <c r="J668" s="324"/>
    </row>
    <row r="669" spans="3:10">
      <c r="C669" s="348"/>
      <c r="D669" s="331"/>
      <c r="E669" s="331"/>
      <c r="I669" s="324"/>
      <c r="J669" s="324"/>
    </row>
    <row r="670" spans="3:10">
      <c r="C670" s="348"/>
      <c r="D670" s="331"/>
      <c r="E670" s="331"/>
      <c r="I670" s="324"/>
      <c r="J670" s="324"/>
    </row>
    <row r="671" spans="3:10">
      <c r="I671" s="324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Jody-Kay Tucker</dc:creator>
  <cp:keywords/>
  <dc:description/>
  <cp:lastModifiedBy>Guest User</cp:lastModifiedBy>
  <cp:revision/>
  <dcterms:created xsi:type="dcterms:W3CDTF">2015-11-25T17:02:09Z</dcterms:created>
  <dcterms:modified xsi:type="dcterms:W3CDTF">2026-07-14T20:57:39Z</dcterms:modified>
  <cp:category/>
  <cp:contentStatus/>
</cp:coreProperties>
</file>